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20" windowWidth="19200" windowHeight="6645" tabRatio="922" activeTab="10"/>
  </bookViews>
  <sheets>
    <sheet name="Datos" sheetId="1" r:id="rId1"/>
    <sheet name="Est Prev" sheetId="2" r:id="rId2"/>
    <sheet name="Res Aper" sheetId="3" r:id="rId3"/>
    <sheet name="Invitación" sheetId="4" r:id="rId4"/>
    <sheet name="RecepProp" sheetId="5" r:id="rId5"/>
    <sheet name="ActaCierre" sheetId="6" r:id="rId6"/>
    <sheet name="Evaluación" sheetId="7" r:id="rId7"/>
    <sheet name="Res Adjud" sheetId="8" r:id="rId8"/>
    <sheet name="Contrato" sheetId="10" r:id="rId9"/>
    <sheet name="ReciboSatis" sheetId="11" r:id="rId10"/>
    <sheet name="ActaLiquida" sheetId="12" r:id="rId11"/>
  </sheets>
  <calcPr calcId="162913"/>
</workbook>
</file>

<file path=xl/calcChain.xml><?xml version="1.0" encoding="utf-8"?>
<calcChain xmlns="http://schemas.openxmlformats.org/spreadsheetml/2006/main">
  <c r="A4" i="6" l="1"/>
  <c r="H10" i="1" l="1"/>
  <c r="A29" i="10" l="1"/>
  <c r="A6" i="4" l="1"/>
  <c r="A9" i="3" l="1"/>
  <c r="A4" i="2"/>
  <c r="A17" i="2"/>
  <c r="A4" i="4" l="1"/>
  <c r="A41" i="2" l="1"/>
  <c r="E41" i="2"/>
  <c r="G41" i="2"/>
  <c r="H13" i="1" l="1"/>
  <c r="H12" i="1"/>
  <c r="H9" i="1"/>
  <c r="I16" i="1" l="1"/>
  <c r="I18" i="1" s="1"/>
  <c r="H11" i="1" s="1"/>
  <c r="A39" i="10" l="1"/>
  <c r="C24" i="10" l="1"/>
  <c r="C25" i="10"/>
  <c r="A24" i="10"/>
  <c r="A25" i="10"/>
  <c r="C16" i="4"/>
  <c r="C17" i="4"/>
  <c r="A16" i="4"/>
  <c r="A17" i="4"/>
  <c r="C12" i="2" l="1"/>
  <c r="C13" i="2"/>
  <c r="A12" i="2"/>
  <c r="A13" i="2"/>
  <c r="S51" i="1" l="1"/>
  <c r="G30" i="7" l="1"/>
  <c r="J30" i="7" s="1"/>
  <c r="G31" i="7"/>
  <c r="J31" i="7" s="1"/>
  <c r="G32" i="7"/>
  <c r="J32" i="7" s="1"/>
  <c r="G33" i="7"/>
  <c r="J33" i="7" s="1"/>
  <c r="G34" i="7"/>
  <c r="J34" i="7" s="1"/>
  <c r="G35" i="7"/>
  <c r="J35" i="7" s="1"/>
  <c r="G29" i="7"/>
  <c r="J29" i="7" s="1"/>
  <c r="W38" i="1"/>
  <c r="W58" i="1" s="1"/>
  <c r="U49" i="1"/>
  <c r="I23" i="7" s="1"/>
  <c r="V38" i="1"/>
  <c r="V47" i="1" s="1"/>
  <c r="U38" i="1"/>
  <c r="U58" i="1" s="1"/>
  <c r="T38" i="1"/>
  <c r="T45" i="1" s="1"/>
  <c r="S43" i="1"/>
  <c r="S38" i="1"/>
  <c r="S46" i="1" s="1"/>
  <c r="V50" i="1" l="1"/>
  <c r="V49" i="1"/>
  <c r="T43" i="1"/>
  <c r="V46" i="1"/>
  <c r="S45" i="1"/>
  <c r="T44" i="1"/>
  <c r="U45" i="1"/>
  <c r="W51" i="1"/>
  <c r="S49" i="1"/>
  <c r="G23" i="7" s="1"/>
  <c r="J23" i="7" s="1"/>
  <c r="U43" i="1"/>
  <c r="U44" i="1"/>
  <c r="V45" i="1"/>
  <c r="W47" i="1"/>
  <c r="T48" i="1"/>
  <c r="U48" i="1"/>
  <c r="W43" i="1"/>
  <c r="S44" i="1"/>
  <c r="T57" i="1"/>
  <c r="V57" i="1"/>
  <c r="T51" i="1"/>
  <c r="T47" i="1"/>
  <c r="S57" i="1"/>
  <c r="S47" i="1"/>
  <c r="T50" i="1"/>
  <c r="T46" i="1"/>
  <c r="U51" i="1"/>
  <c r="U47" i="1"/>
  <c r="V43" i="1"/>
  <c r="V48" i="1"/>
  <c r="V44" i="1"/>
  <c r="W50" i="1"/>
  <c r="W46" i="1"/>
  <c r="T58" i="1"/>
  <c r="V58" i="1"/>
  <c r="S48" i="1"/>
  <c r="S58" i="1"/>
  <c r="S50" i="1"/>
  <c r="T49" i="1"/>
  <c r="H23" i="7" s="1"/>
  <c r="U50" i="1"/>
  <c r="U46" i="1"/>
  <c r="V51" i="1"/>
  <c r="W49" i="1"/>
  <c r="W45" i="1"/>
  <c r="U57" i="1"/>
  <c r="W57" i="1"/>
  <c r="W48" i="1"/>
  <c r="W44" i="1"/>
  <c r="F11" i="11"/>
  <c r="E9" i="11" l="1"/>
  <c r="E10" i="11"/>
  <c r="B9" i="11"/>
  <c r="B10" i="11"/>
  <c r="A9" i="11"/>
  <c r="A10" i="11"/>
  <c r="E8" i="11"/>
  <c r="F10" i="11" l="1"/>
  <c r="F9" i="11"/>
  <c r="H30" i="7"/>
  <c r="I30" i="7"/>
  <c r="H31" i="7"/>
  <c r="I31" i="7"/>
  <c r="H32" i="7"/>
  <c r="I32" i="7"/>
  <c r="H33" i="7"/>
  <c r="I33" i="7"/>
  <c r="H34" i="7"/>
  <c r="I34" i="7"/>
  <c r="H35" i="7"/>
  <c r="I35" i="7"/>
  <c r="I29" i="7"/>
  <c r="H29" i="7"/>
  <c r="A33" i="10"/>
  <c r="E46" i="4"/>
  <c r="A54" i="4" s="1"/>
  <c r="F41" i="7"/>
  <c r="A36" i="4"/>
  <c r="H9" i="6"/>
  <c r="G9" i="6"/>
  <c r="C9" i="6"/>
  <c r="B9" i="6"/>
  <c r="G40" i="2"/>
  <c r="G39" i="2"/>
  <c r="E40" i="2"/>
  <c r="E39" i="2"/>
  <c r="A39" i="2"/>
  <c r="A40" i="2"/>
  <c r="B40" i="2"/>
  <c r="C40" i="2"/>
  <c r="D40" i="2"/>
  <c r="D39" i="2"/>
  <c r="C39" i="2"/>
  <c r="B39" i="2"/>
  <c r="D44" i="2"/>
  <c r="B34" i="2"/>
  <c r="A15" i="2"/>
  <c r="F40" i="7" l="1"/>
  <c r="F39" i="7"/>
  <c r="C35" i="1" l="1"/>
  <c r="C27" i="1"/>
  <c r="C24" i="1"/>
  <c r="C19" i="1"/>
  <c r="A19" i="4" s="1"/>
  <c r="J45" i="1" l="1"/>
  <c r="J65" i="1"/>
  <c r="J63" i="1" s="1"/>
  <c r="A15" i="10" s="1"/>
  <c r="C39" i="1" l="1"/>
  <c r="A48" i="10" l="1"/>
  <c r="A6" i="8"/>
  <c r="A6" i="3"/>
  <c r="A34" i="12"/>
  <c r="A58" i="10"/>
  <c r="F33" i="12"/>
  <c r="F32" i="12"/>
  <c r="A32" i="12"/>
  <c r="F57" i="10"/>
  <c r="A56" i="10"/>
  <c r="D3" i="12"/>
  <c r="F56" i="10"/>
  <c r="A37" i="10"/>
  <c r="A19" i="10"/>
  <c r="A13" i="10"/>
  <c r="A23" i="8"/>
  <c r="A12" i="8"/>
  <c r="A4" i="8"/>
  <c r="A1" i="8"/>
  <c r="F3" i="7"/>
  <c r="A2" i="6"/>
  <c r="A4" i="5"/>
  <c r="A2" i="5"/>
  <c r="A21" i="4"/>
  <c r="A23" i="3"/>
  <c r="A15" i="3"/>
  <c r="A10" i="3"/>
  <c r="A4" i="3"/>
  <c r="A6" i="2"/>
  <c r="B61" i="4"/>
  <c r="A1" i="10"/>
  <c r="A1" i="2"/>
  <c r="C3" i="10"/>
  <c r="A1" i="4"/>
  <c r="A1" i="3"/>
  <c r="E52" i="4"/>
  <c r="A27" i="10"/>
  <c r="C38" i="1"/>
  <c r="D7" i="12" s="1"/>
  <c r="A50" i="10"/>
  <c r="A22" i="12"/>
  <c r="A8" i="4"/>
  <c r="A9" i="6"/>
  <c r="C23" i="1"/>
  <c r="J12" i="1"/>
  <c r="J10" i="1"/>
  <c r="J9" i="1"/>
  <c r="D20" i="11"/>
  <c r="D4" i="12"/>
  <c r="C4" i="10"/>
  <c r="C36" i="1"/>
  <c r="A3" i="11" s="1"/>
  <c r="E50" i="4"/>
  <c r="E49" i="4"/>
  <c r="C43" i="1"/>
  <c r="A10" i="12" s="1"/>
  <c r="C59" i="4"/>
  <c r="D23" i="5"/>
  <c r="C20" i="6" s="1"/>
  <c r="D49" i="7" s="1"/>
  <c r="C30" i="3"/>
  <c r="AB17" i="1"/>
  <c r="AB18" i="1"/>
  <c r="A24" i="12"/>
  <c r="A14" i="12"/>
  <c r="D6" i="12"/>
  <c r="C8" i="10"/>
  <c r="C6" i="10"/>
  <c r="C9" i="7"/>
  <c r="I9" i="7"/>
  <c r="D9" i="7"/>
  <c r="B8" i="11"/>
  <c r="A8" i="11"/>
  <c r="F8" i="11" s="1"/>
  <c r="B7" i="11"/>
  <c r="A7" i="11"/>
  <c r="C23" i="10"/>
  <c r="A23" i="10"/>
  <c r="C22" i="10"/>
  <c r="A22" i="10"/>
  <c r="C14" i="4"/>
  <c r="A2" i="3"/>
  <c r="E51" i="4"/>
  <c r="E45" i="4"/>
  <c r="C15" i="4"/>
  <c r="A15" i="4"/>
  <c r="A14" i="4"/>
  <c r="C11" i="2"/>
  <c r="A11" i="2"/>
  <c r="C10" i="2"/>
  <c r="A10" i="2"/>
  <c r="A2" i="8"/>
  <c r="B5" i="7"/>
  <c r="A6" i="6"/>
  <c r="A2" i="4"/>
  <c r="AB21" i="1"/>
  <c r="AB20" i="1"/>
  <c r="AB19" i="1"/>
  <c r="J11" i="1"/>
  <c r="J53" i="1"/>
  <c r="A24" i="6" s="1"/>
  <c r="A2" i="2"/>
  <c r="C10" i="10"/>
  <c r="J13" i="1" l="1"/>
  <c r="C12" i="1" s="1"/>
  <c r="H39" i="7"/>
  <c r="H26" i="7"/>
  <c r="H24" i="7"/>
  <c r="H25" i="7"/>
  <c r="I21" i="7"/>
  <c r="I25" i="7"/>
  <c r="I26" i="7"/>
  <c r="I24" i="7"/>
  <c r="G17" i="7"/>
  <c r="J17" i="7" s="1"/>
  <c r="G25" i="7"/>
  <c r="J25" i="7" s="1"/>
  <c r="G26" i="7"/>
  <c r="J26" i="7" s="1"/>
  <c r="G24" i="7"/>
  <c r="J24" i="7" s="1"/>
  <c r="I13" i="7"/>
  <c r="I20" i="7"/>
  <c r="I19" i="7"/>
  <c r="I22" i="7"/>
  <c r="I18" i="7"/>
  <c r="E47" i="4"/>
  <c r="J57" i="1"/>
  <c r="E48" i="4" s="1"/>
  <c r="C9" i="10"/>
  <c r="A26" i="12"/>
  <c r="AC17" i="1"/>
  <c r="C9" i="1" s="1"/>
  <c r="G13" i="7"/>
  <c r="J13" i="7" s="1"/>
  <c r="A14" i="6"/>
  <c r="H20" i="7"/>
  <c r="H18" i="7"/>
  <c r="G22" i="7"/>
  <c r="J22" i="7" s="1"/>
  <c r="G21" i="7"/>
  <c r="J21" i="7" s="1"/>
  <c r="G20" i="7"/>
  <c r="J20" i="7" s="1"/>
  <c r="H22" i="7"/>
  <c r="H21" i="7"/>
  <c r="H13" i="7"/>
  <c r="D28" i="8"/>
  <c r="K17" i="1" l="1"/>
  <c r="K18" i="1" s="1"/>
  <c r="K19" i="1" s="1"/>
  <c r="H17" i="7"/>
  <c r="I40" i="7"/>
  <c r="I39" i="7"/>
  <c r="H19" i="7"/>
  <c r="C6" i="1"/>
  <c r="B43" i="7" s="1"/>
  <c r="N60" i="1"/>
  <c r="B42" i="7" s="1"/>
  <c r="G39" i="7"/>
  <c r="G18" i="7"/>
  <c r="J18" i="7" s="1"/>
  <c r="G40" i="7"/>
  <c r="G19" i="7"/>
  <c r="J19" i="7" s="1"/>
  <c r="C7" i="1"/>
  <c r="I17" i="7"/>
  <c r="D3" i="7"/>
  <c r="W59" i="1"/>
  <c r="C7" i="10"/>
  <c r="A14" i="11"/>
  <c r="D8" i="12"/>
  <c r="C10" i="1" l="1"/>
  <c r="C5" i="10"/>
  <c r="A17" i="10"/>
  <c r="A16" i="8"/>
  <c r="F34" i="12"/>
  <c r="D5" i="12"/>
  <c r="F58" i="10"/>
  <c r="H40" i="7"/>
  <c r="T59" i="1"/>
  <c r="H41" i="7" s="1"/>
  <c r="U59" i="1"/>
  <c r="I41" i="7" s="1"/>
  <c r="A19" i="8"/>
  <c r="A5" i="11"/>
  <c r="A20" i="12"/>
  <c r="S59" i="1"/>
  <c r="V59" i="1"/>
  <c r="G41" i="7" l="1"/>
</calcChain>
</file>

<file path=xl/sharedStrings.xml><?xml version="1.0" encoding="utf-8"?>
<sst xmlns="http://schemas.openxmlformats.org/spreadsheetml/2006/main" count="458" uniqueCount="375">
  <si>
    <t>DATOS PARA EL PROCESO DE COMPRA</t>
  </si>
  <si>
    <t>C3</t>
  </si>
  <si>
    <t>REPRESENTANTE LEGAL</t>
  </si>
  <si>
    <t>C4</t>
  </si>
  <si>
    <t>C.C.</t>
  </si>
  <si>
    <t>C5</t>
  </si>
  <si>
    <t>EXPEDIDA EN:</t>
  </si>
  <si>
    <t>C6</t>
  </si>
  <si>
    <r>
      <t xml:space="preserve">EMPRESA: </t>
    </r>
    <r>
      <rPr>
        <sz val="12"/>
        <color indexed="8"/>
        <rFont val="Arial"/>
        <family val="2"/>
      </rPr>
      <t/>
    </r>
  </si>
  <si>
    <t>C7</t>
  </si>
  <si>
    <t>C.C./NIT:</t>
  </si>
  <si>
    <t>C8</t>
  </si>
  <si>
    <t>APROXIMADO</t>
  </si>
  <si>
    <t>C9</t>
  </si>
  <si>
    <t>C10</t>
  </si>
  <si>
    <t>VALOR PAGADO</t>
  </si>
  <si>
    <t>C11</t>
  </si>
  <si>
    <t>VALOR EN LETRAS</t>
  </si>
  <si>
    <t>RETE IVA 15% REGIMEN COMÚN</t>
  </si>
  <si>
    <t>C12</t>
  </si>
  <si>
    <t>C13</t>
  </si>
  <si>
    <t>FECHA O.COMP:</t>
  </si>
  <si>
    <t>C14</t>
  </si>
  <si>
    <t>VALOR ANTES DE IVA</t>
  </si>
  <si>
    <t>C15</t>
  </si>
  <si>
    <t>FECHA R. CAJA:</t>
  </si>
  <si>
    <t>IVA FACTURADO</t>
  </si>
  <si>
    <t>SELECCIÓN DE OFERENTES</t>
  </si>
  <si>
    <t>C16</t>
  </si>
  <si>
    <t xml:space="preserve">Cheque No. </t>
  </si>
  <si>
    <t>VALOR FACTURA CON IVA</t>
  </si>
  <si>
    <t>Oferente No.</t>
  </si>
  <si>
    <t>NOMBRE</t>
  </si>
  <si>
    <t>NIT</t>
  </si>
  <si>
    <t>VALOR</t>
  </si>
  <si>
    <t>FOLIOS</t>
  </si>
  <si>
    <t>REQUISITOS</t>
  </si>
  <si>
    <t>Precio</t>
  </si>
  <si>
    <t>Calidad</t>
  </si>
  <si>
    <t>Calificación</t>
  </si>
  <si>
    <t>Mejor Calificación</t>
  </si>
  <si>
    <t>C17</t>
  </si>
  <si>
    <t>FECHA LIQUIDACIÓN</t>
  </si>
  <si>
    <t>VALOR EXCENTO DE IVA</t>
  </si>
  <si>
    <t>C18</t>
  </si>
  <si>
    <t>FACTURA</t>
  </si>
  <si>
    <t>C19</t>
  </si>
  <si>
    <t>C20</t>
  </si>
  <si>
    <t>VALOR ESTUDIOS PREVIOS</t>
  </si>
  <si>
    <t>C21</t>
  </si>
  <si>
    <t>PLAZO:</t>
  </si>
  <si>
    <t>C22</t>
  </si>
  <si>
    <t>C23</t>
  </si>
  <si>
    <t>FECHA ESTUDIOS PREVIOS</t>
  </si>
  <si>
    <t>PRESENTACIÓN DE LA PROPUESTA ECONÓMICA Y CUMPLIMIENTO DE LAS ESPECIFICACIONES TÉCNICAS</t>
  </si>
  <si>
    <t>C24</t>
  </si>
  <si>
    <t>Detalle</t>
  </si>
  <si>
    <t>Oferente 1</t>
  </si>
  <si>
    <t>Oferente 2</t>
  </si>
  <si>
    <t>Oferente 3</t>
  </si>
  <si>
    <t>Oferente 4</t>
  </si>
  <si>
    <t>Oferente 5</t>
  </si>
  <si>
    <t>C25</t>
  </si>
  <si>
    <t>Oferta económica de los bienes y/o servicios según las especificaciones técnicas exigidas por la Institución</t>
  </si>
  <si>
    <t>C26</t>
  </si>
  <si>
    <t>Fecha Disponibilidad</t>
  </si>
  <si>
    <t>C27</t>
  </si>
  <si>
    <t>C28</t>
  </si>
  <si>
    <t>REGIMEN COMUN</t>
  </si>
  <si>
    <t>REQUISITOS HABILITANTES</t>
  </si>
  <si>
    <t>C29</t>
  </si>
  <si>
    <t>SERVICIO</t>
  </si>
  <si>
    <t>DETALLE</t>
  </si>
  <si>
    <t>C30</t>
  </si>
  <si>
    <t>C31</t>
  </si>
  <si>
    <t>Copia de Registro Único Tributario (RUT)</t>
  </si>
  <si>
    <t>C32</t>
  </si>
  <si>
    <t>C33</t>
  </si>
  <si>
    <t>C34</t>
  </si>
  <si>
    <t>C35</t>
  </si>
  <si>
    <t>CRONOGRAMA</t>
  </si>
  <si>
    <t>C36</t>
  </si>
  <si>
    <t>Etapa</t>
  </si>
  <si>
    <t>Trámites  Necesarios</t>
  </si>
  <si>
    <t>Términos</t>
  </si>
  <si>
    <t>C37</t>
  </si>
  <si>
    <t xml:space="preserve">Realizar los Estudios Previos: Definición  de  las condiciones  técnicas, valor estimado del contrato, plazo para la adquisición del bien o servicio, certificado de disponibilidad.  </t>
  </si>
  <si>
    <t>CRITERIOS DE EVALUACIÓN Y CALIFICACIÓN</t>
  </si>
  <si>
    <t>Criterio de Evaluación</t>
  </si>
  <si>
    <t>Puntaje Máximo</t>
  </si>
  <si>
    <t>Calificación económica (Menor precio)</t>
  </si>
  <si>
    <t>Total</t>
  </si>
  <si>
    <t>Recepción de propuestas.</t>
  </si>
  <si>
    <t>Desfije de publicación.</t>
  </si>
  <si>
    <t>Verificación de  requisitos  habilitantes y demás parámetros establecidos en la invitación.</t>
  </si>
  <si>
    <t>Recepción de observaciones al informe de evaluación.</t>
  </si>
  <si>
    <t>Recepción de observaciones</t>
  </si>
  <si>
    <t>Respuesta  a las  observaciones del informe de evaluación.</t>
  </si>
  <si>
    <t>Respuesta  a  observaciones</t>
  </si>
  <si>
    <t>Resolución  declaratoria  desierta</t>
  </si>
  <si>
    <t>Aceptación de la Oferta y Firma del Contrato</t>
  </si>
  <si>
    <t>CONSIDERANDO</t>
  </si>
  <si>
    <t>RESUELVE</t>
  </si>
  <si>
    <t>ACTA DE RECEPCIÓN DE PROPUESTAS</t>
  </si>
  <si>
    <t>No</t>
  </si>
  <si>
    <t>Fecha y Hora</t>
  </si>
  <si>
    <t>Firma del Proponente</t>
  </si>
  <si>
    <t>ACTA DE CIERRE DE RECEPCIÓN DE PROPUESTAS</t>
  </si>
  <si>
    <t>Oferente</t>
  </si>
  <si>
    <t>OFERTA ECONÓMICA</t>
  </si>
  <si>
    <t>NOMBRE OFERENTE</t>
  </si>
  <si>
    <t>Folios</t>
  </si>
  <si>
    <t xml:space="preserve">Fecha de Evaluación: </t>
  </si>
  <si>
    <t>Objeto:</t>
  </si>
  <si>
    <t>OFERENTES</t>
  </si>
  <si>
    <t>Oferta Económica</t>
  </si>
  <si>
    <t>PRESENTACIÓN DE LA PROPUESTA ECONÓMICA</t>
  </si>
  <si>
    <t>%</t>
  </si>
  <si>
    <t>Calidad (Ver aviso de invitación)</t>
  </si>
  <si>
    <t>Cordialmente,</t>
  </si>
  <si>
    <t>Estudios Previos</t>
  </si>
  <si>
    <t>Definición de  la  ubicación  física  en  dónde  se  prestará  el  servicio o se recibirá el bien.</t>
  </si>
  <si>
    <t>Invitación Pública</t>
  </si>
  <si>
    <t>Invitación pública en cartelera.</t>
  </si>
  <si>
    <t>Requisitos  habilitantes y metodología a seguir.</t>
  </si>
  <si>
    <t>Resolución Rectoral Apertura.</t>
  </si>
  <si>
    <t>Acta de Cierre y Apertura de sobres.</t>
  </si>
  <si>
    <t>Cierre de invitación, Acta de Cierre y Apertura de sobres.</t>
  </si>
  <si>
    <t>Evaluación y Publicación  del informe de evaluación.</t>
  </si>
  <si>
    <t>Subsanar Documentos</t>
  </si>
  <si>
    <t>Documentación</t>
  </si>
  <si>
    <t>Resolución Rectoral e Invitación Pública</t>
  </si>
  <si>
    <t>Acta de Recepción</t>
  </si>
  <si>
    <t>Acta de Cierre</t>
  </si>
  <si>
    <t>Evaluación de Oferentes</t>
  </si>
  <si>
    <t>Contrato</t>
  </si>
  <si>
    <t>OBJETO COMPRA O SERVICIO:</t>
  </si>
  <si>
    <t>RETENCIÓN</t>
  </si>
  <si>
    <t>CERTIFICADO DISPONIBILIDAD</t>
  </si>
  <si>
    <t>Evaluación de cada oferente y Publicación  informe de evaluación.</t>
  </si>
  <si>
    <t>Adjudicación  o  Declaratoria  Desierta.</t>
  </si>
  <si>
    <t>Suscripción del  Contrato</t>
  </si>
  <si>
    <t xml:space="preserve">Resolución  de  adjudicación y Notificación </t>
  </si>
  <si>
    <t>VALOR EST PREV EN LETRAS</t>
  </si>
  <si>
    <t>COMUNÍQUESE Y CÚMPLASE.</t>
  </si>
  <si>
    <r>
      <t xml:space="preserve">Resolución de Adjudicación o de Declaración Desierta. </t>
    </r>
    <r>
      <rPr>
        <sz val="10"/>
        <color indexed="10"/>
        <rFont val="Calibri"/>
        <family val="2"/>
      </rPr>
      <t xml:space="preserve">Compromiso de Tesorería. </t>
    </r>
  </si>
  <si>
    <t>CANTIDADES</t>
  </si>
  <si>
    <t>ACTIVIDAD</t>
  </si>
  <si>
    <t xml:space="preserve">Invitación Pública </t>
  </si>
  <si>
    <t>LUGAR/HORA</t>
  </si>
  <si>
    <t>FECHA</t>
  </si>
  <si>
    <t>Requerimiento  a  proponentes  para  subsanar inconsistencias (1 día)</t>
  </si>
  <si>
    <t xml:space="preserve">Respuesta a observaciones </t>
  </si>
  <si>
    <t>Resolución de Adjudicación o Declaración Desierta</t>
  </si>
  <si>
    <t>El contratante</t>
  </si>
  <si>
    <t>El contratista</t>
  </si>
  <si>
    <t xml:space="preserve">Entre los suscritos </t>
  </si>
  <si>
    <t>FECHA RECIBO A SATISFACCIÓN</t>
  </si>
  <si>
    <t>CONTRATO</t>
  </si>
  <si>
    <t>CONTRATANTE</t>
  </si>
  <si>
    <t>CONTRATISTA</t>
  </si>
  <si>
    <t>OBJETO</t>
  </si>
  <si>
    <t>FECHA INICIO</t>
  </si>
  <si>
    <t>FECHA TERMINACIÓN</t>
  </si>
  <si>
    <t>DIRECCIÓN CONTRATISTA</t>
  </si>
  <si>
    <t>TELÉFONO</t>
  </si>
  <si>
    <t>EMAIL</t>
  </si>
  <si>
    <t>CONSIDERACIONES</t>
  </si>
  <si>
    <r>
      <rPr>
        <b/>
        <sz val="11"/>
        <color indexed="8"/>
        <rFont val="Calibri"/>
        <family val="2"/>
      </rPr>
      <t>SEGUNDO:</t>
    </r>
    <r>
      <rPr>
        <sz val="11"/>
        <color theme="1"/>
        <rFont val="Calibri"/>
        <family val="2"/>
        <scheme val="minor"/>
      </rPr>
      <t xml:space="preserve"> Que el contratista ha dado cumplimiento a lo descrito en el contrato. Por lo anterior</t>
    </r>
  </si>
  <si>
    <t>ACUERDAN</t>
  </si>
  <si>
    <t>C38</t>
  </si>
  <si>
    <t>PLAZO ENTREGA CONTRATISTA (días)</t>
  </si>
  <si>
    <t>OFERENTE</t>
  </si>
  <si>
    <t>ACTA EVALUACIÓN DE OFERENTES</t>
  </si>
  <si>
    <t xml:space="preserve">CONTRATANTE:                 </t>
  </si>
  <si>
    <t xml:space="preserve">CONTRATISTA:    </t>
  </si>
  <si>
    <t xml:space="preserve">OBJETO DEL CONTRATO: </t>
  </si>
  <si>
    <t xml:space="preserve">VALOR DEL CONTRATO:
</t>
  </si>
  <si>
    <t xml:space="preserve">FECHA DE INICIO: </t>
  </si>
  <si>
    <t>FECHA DE TERMINACIÓN:</t>
  </si>
  <si>
    <t>FECHA LIQUIDACIÓN CONTRATO</t>
  </si>
  <si>
    <t xml:space="preserve">Municipio </t>
  </si>
  <si>
    <t>0</t>
  </si>
  <si>
    <t>COMPRABANTE DE EGRESO</t>
  </si>
  <si>
    <t>NA</t>
  </si>
  <si>
    <t>CONSECUTIVO</t>
  </si>
  <si>
    <t>CONSECUTIVO DEL SISTEMA</t>
  </si>
  <si>
    <t>COMPROMISO PRESUPUESTAL</t>
  </si>
  <si>
    <t>DISPONIBILIDAD PRESUPUESTAL</t>
  </si>
  <si>
    <t>EL VALOR DE LA DISPONIBILIDAD</t>
  </si>
  <si>
    <t>COMPROBANTE DE EGRESO</t>
  </si>
  <si>
    <r>
      <rPr>
        <sz val="11"/>
        <color indexed="8"/>
        <rFont val="Calibri"/>
        <family val="2"/>
      </rPr>
      <t>MODALIDAD  DE  CONTRATACIÓN:</t>
    </r>
    <r>
      <rPr>
        <b/>
        <sz val="11"/>
        <color indexed="8"/>
        <rFont val="Calibri"/>
        <family val="2"/>
      </rPr>
      <t xml:space="preserve"> </t>
    </r>
    <r>
      <rPr>
        <sz val="11"/>
        <color theme="1"/>
        <rFont val="Calibri"/>
        <family val="2"/>
        <scheme val="minor"/>
      </rPr>
      <t>Se trata de un proceso de contratación realizado de conformidad con la reglamentación expedida por el Consejo Directivo mediante Acuerdo.</t>
    </r>
  </si>
  <si>
    <r>
      <rPr>
        <sz val="11"/>
        <color indexed="8"/>
        <rFont val="Calibri"/>
        <family val="2"/>
      </rPr>
      <t>DECLARATORIA DESIERTA</t>
    </r>
    <r>
      <rPr>
        <b/>
        <sz val="11"/>
        <color indexed="8"/>
        <rFont val="Calibri"/>
        <family val="2"/>
      </rPr>
      <t>:</t>
    </r>
    <r>
      <rPr>
        <sz val="11"/>
        <color theme="1"/>
        <rFont val="Calibri"/>
        <family val="2"/>
        <scheme val="minor"/>
      </rPr>
      <t xml:space="preserve"> En caso de no presentarse propuestas o que ninguna de las presentadas resulte habilitada durante el proceso, el mismo se declarará desierto mediante resolución rectoral y se iniciará un nuevo proceso.</t>
    </r>
  </si>
  <si>
    <r>
      <rPr>
        <sz val="11"/>
        <color indexed="8"/>
        <rFont val="Calibri"/>
        <family val="2"/>
      </rPr>
      <t xml:space="preserve">CRONOGRAMA: </t>
    </r>
    <r>
      <rPr>
        <sz val="11"/>
        <color theme="1"/>
        <rFont val="Calibri"/>
        <family val="2"/>
        <scheme val="minor"/>
      </rPr>
      <t>El cronograma que regirá el proceso es el siguiente.</t>
    </r>
  </si>
  <si>
    <t>CC</t>
  </si>
  <si>
    <t>Valor Retenido</t>
  </si>
  <si>
    <t>Valor Pagado</t>
  </si>
  <si>
    <t>Valor Ejecutado</t>
  </si>
  <si>
    <t>DESDE LA FECHA DE LA FACTURA HASTA LA FECHA DEL COMPROBANTE DE EGRESO</t>
  </si>
  <si>
    <t>DATOS</t>
  </si>
  <si>
    <t>EL VALOR DE LA DISPONIBILIDAD EN LETRAS</t>
  </si>
  <si>
    <t>Elaboración de Contrato</t>
  </si>
  <si>
    <t>MEDELLÍN</t>
  </si>
  <si>
    <t xml:space="preserve">ESTUDIOS PREVIOS No. EP. </t>
  </si>
  <si>
    <t xml:space="preserve">INVITACIÓN PÚBLICA No. IP. </t>
  </si>
  <si>
    <t xml:space="preserve">CONTRATO No. C. </t>
  </si>
  <si>
    <t xml:space="preserve">RESOLUCIÓN DE APERTURA No. RAP.  </t>
  </si>
  <si>
    <t>Recepción de Propuestas</t>
  </si>
  <si>
    <t>Cierre de Invitación, Acta de Cierre y apertura de sobres.</t>
  </si>
  <si>
    <t>Evaluación de Oferentes y publicación  del Informe de Evaluación.</t>
  </si>
  <si>
    <r>
      <rPr>
        <b/>
        <sz val="12"/>
        <color theme="1"/>
        <rFont val="Arial"/>
        <family val="2"/>
      </rPr>
      <t>NOTA IMPORTANTE:</t>
    </r>
    <r>
      <rPr>
        <sz val="12"/>
        <color theme="1"/>
        <rFont val="Arial"/>
        <family val="2"/>
      </rPr>
      <t xml:space="preserve"> Señor Proponente, por favor permanezca atento al cronograma para hacer cualquier observación.</t>
    </r>
  </si>
  <si>
    <t xml:space="preserve">RESOLUCIÓN DE  ADJUDICACIÓN No. RAC.  </t>
  </si>
  <si>
    <t xml:space="preserve">1. Que el Artículo 2.3.1.6.3.6 Numeral 4, del Decreto 1075 del 2015,  establece que será competencia de la Rectoría: “Celebrar los contratos, suscribir los actos administrativos y ordenar los gastos con cargo a los recursos del Fondo de Servicios Educativos, de acuerdo con el flujo de caja y el plan operativo de la respectiva vigencia fiscal, previa disponibilidad presupuestal y de tesorería."
</t>
  </si>
  <si>
    <t>1. A suministrar  los bienes y/o servicios  que se especifican a continuación, conforme a  la oferta económica presentada por el contratista, la cual  se anexa al presente contrato.------------------------------------</t>
  </si>
  <si>
    <r>
      <t>CUARTA. SUSPENCIÓN Y LIQUIDACIÓN:</t>
    </r>
    <r>
      <rPr>
        <b/>
        <sz val="10"/>
        <color indexed="8"/>
        <rFont val="Calibri"/>
        <family val="2"/>
      </rPr>
      <t xml:space="preserve"> </t>
    </r>
    <r>
      <rPr>
        <sz val="10"/>
        <color indexed="8"/>
        <rFont val="Calibri"/>
        <family val="2"/>
      </rPr>
      <t xml:space="preserve">El presente contrato podrá suspenderse o liquidarse dentro del término de  ejecución,  por circunstancias de fuerza mayor o caso fortuito, cesando las obligaciones reciprocas entre las partes.--------------------------
</t>
    </r>
    <r>
      <rPr>
        <b/>
        <sz val="11"/>
        <color indexed="8"/>
        <rFont val="Calibri"/>
        <family val="2"/>
      </rPr>
      <t/>
    </r>
  </si>
  <si>
    <t>SÉPTIMA. FONDOS Y APROPIACIONES PRESUPUESTALES: El CONTRATANTE atenderá los pagos del presente contrato, con recursos del  Fondo de Servicios Educativos de la Institución y que están dentro de su presupuesto.-----------------------------------------------</t>
  </si>
  <si>
    <r>
      <t>OCTAVA. APLICACIÓN DE LA LEY GENERAL DE CONTRATACIÓN:</t>
    </r>
    <r>
      <rPr>
        <b/>
        <sz val="10"/>
        <color indexed="8"/>
        <rFont val="Calibri"/>
        <family val="2"/>
      </rPr>
      <t xml:space="preserve"> </t>
    </r>
    <r>
      <rPr>
        <sz val="10"/>
        <color indexed="8"/>
        <rFont val="Calibri"/>
        <family val="2"/>
      </rPr>
      <t xml:space="preserve">En materia de caducidad, declaratoria de incumplimiento, terminación, modificación e interpretación unilaterales, inhabilidades e incompatibilidades, cesión del contrato, se dará cumplimiento a la Ley 80 de 1993 y sus Decretos reglamentarios.---------------------------------------------------------------------------------
</t>
    </r>
    <r>
      <rPr>
        <b/>
        <sz val="10"/>
        <color indexed="8"/>
        <rFont val="Calibri"/>
        <family val="2"/>
      </rPr>
      <t/>
    </r>
  </si>
  <si>
    <t>RECIBO A SATISFACCIÓN</t>
  </si>
  <si>
    <t>ACTA DE LIQUIDACIÓN</t>
  </si>
  <si>
    <t>VIGENCIA (INICIO Y TEMINACIÓN)</t>
  </si>
  <si>
    <t>Acuerdo del Consejo</t>
  </si>
  <si>
    <t>Nombre I.E.</t>
  </si>
  <si>
    <t>Rector (a)</t>
  </si>
  <si>
    <t>Dirección</t>
  </si>
  <si>
    <t>Teléfono</t>
  </si>
  <si>
    <t>mismo día de la disponibilidad</t>
  </si>
  <si>
    <t>un día después de los estudios previos</t>
  </si>
  <si>
    <t>el mismo día de cierre de invitaciones</t>
  </si>
  <si>
    <t>1 un día después de evaluación y publicación</t>
  </si>
  <si>
    <t>1 un día después de recepción de observaciones</t>
  </si>
  <si>
    <t>1 después de respuesta a observaciones</t>
  </si>
  <si>
    <t>después de adjudicación PERO no puede ser inferior al compromiso</t>
  </si>
  <si>
    <t>DURACIÓN DEL CONTRATO (DÍAS ENTRE COMPROMISO Y EGRESO)</t>
  </si>
  <si>
    <t>DURACIÓN DE ENTREGA</t>
  </si>
  <si>
    <t>VALOR DE LA COTIZACIÓN</t>
  </si>
  <si>
    <r>
      <rPr>
        <sz val="11"/>
        <color indexed="8"/>
        <rFont val="Calibri"/>
        <family val="2"/>
      </rPr>
      <t>ESPECIFICACIONES TÉCNICAS</t>
    </r>
    <r>
      <rPr>
        <b/>
        <sz val="11"/>
        <color indexed="8"/>
        <rFont val="Calibri"/>
        <family val="2"/>
      </rPr>
      <t>:</t>
    </r>
    <r>
      <rPr>
        <sz val="11"/>
        <color theme="1"/>
        <rFont val="Calibri"/>
        <family val="2"/>
        <scheme val="minor"/>
      </rPr>
      <t xml:space="preserve"> A continuación se detalla la cantidad y el tipo de artículo o servicio requerido por la Institución.</t>
    </r>
  </si>
  <si>
    <t>Fecha de Fijación</t>
  </si>
  <si>
    <t>Oferta económica de los bienes y/o servicios según las especificaciones técnicas exigidas por la Institución.</t>
  </si>
  <si>
    <t>NOVENA. INHABILIDADES E INCOMPATIBILIDADES: El CONTRATISTA declara bajo la gravedad de juramento, que se entiende prestado con la firma del presente instrumento,  que no se encuentra incurso en ninguna de las  causales de inhabilidad e incompatibilidad contempladas en la constitución y la ley.---------------------------------------------------------</t>
  </si>
  <si>
    <t>agregar (pesos M/L)</t>
  </si>
  <si>
    <t>Establecer la necesidad teniendo encuentra el presupuesto.</t>
  </si>
  <si>
    <t>hasta 2 días después de la invitación publica</t>
  </si>
  <si>
    <t>1 día después del cierre de invitación</t>
  </si>
  <si>
    <t>C39</t>
  </si>
  <si>
    <t>METODOLOGÍA DE ESTUDIO DE MERCADO</t>
  </si>
  <si>
    <t>EXLPLICAR CÓMO SE REALIZÓ EL ESTUDIO DE MERCADO</t>
  </si>
  <si>
    <t>DESCRIPCIÓN DE LA NECESIDAD:</t>
  </si>
  <si>
    <t>¿Qué?</t>
  </si>
  <si>
    <t>¿Para qué?</t>
  </si>
  <si>
    <t>¿Cómo?</t>
  </si>
  <si>
    <t>¿Cuándo?</t>
  </si>
  <si>
    <t>¿Beneficiados?</t>
  </si>
  <si>
    <t>Objeto comprado y/o Servicio Prestado</t>
  </si>
  <si>
    <t>Motivo para realizar la compra y/o contratar el servicio</t>
  </si>
  <si>
    <t>Cómo se entrega el objeto o  se desarrolla el servicio</t>
  </si>
  <si>
    <t>En qué tiempo se entrega el objeto o desarrolla el servicio y cuánto dura</t>
  </si>
  <si>
    <t>Quién sale beneficiado con la compra de este objeto o el desarrollo del servicio</t>
  </si>
  <si>
    <t>Solo se tendrán en cuenta las propuestas que cumplan con  los requisitos legales y las especificaciones técnicas que en ellos se describen.</t>
  </si>
  <si>
    <r>
      <rPr>
        <sz val="11"/>
        <color indexed="8"/>
        <rFont val="Calibri"/>
        <family val="2"/>
      </rPr>
      <t>RECHAZO Y ELIMINACIÓN DE PROPUESTAS</t>
    </r>
    <r>
      <rPr>
        <b/>
        <sz val="11"/>
        <color indexed="8"/>
        <rFont val="Calibri"/>
        <family val="2"/>
      </rPr>
      <t>:</t>
    </r>
    <r>
      <rPr>
        <sz val="11"/>
        <color theme="1"/>
        <rFont val="Calibri"/>
        <family val="2"/>
        <scheme val="minor"/>
      </rPr>
      <t xml:space="preserve"> serán eliminadas las propuestas, sin que haya lugar a su evaluación, en los siguientes casos:
• Cuando el proponente no acredite los requisitos de participación establecidos.
• Cuando no se cumpla con alguna de las Especificaciones Técnicas.
• Cuando no se presenten los documentos subsanables requeridos por parte de la Institución, dentro del plazo otorgado para el efecto.
• Cuando el objeto social o actividad mercantil del proponente no corresponda a lo requerido por la Institución, exigencia que aplica a cada uno de los integrantes de Consorcios, Uniones Temporales u otra forma de asociación.
• Si luego de evaluadas las propuestas, se encuentra contradicción entre los documentos aportados en la propuesta o entre esta y lo confrontado con la realidad.
La Institución se reserva el derecho de admitir aquellas propuestas que presenten defectos de forma, omisiones o errores, siempre que estos sean subsanables y no alteren el tratamiento igualitario de las mismas.
</t>
    </r>
  </si>
  <si>
    <t>A continuación, se relaciona la información de las cotizaciones realizadas por la Institución Educativa.</t>
  </si>
  <si>
    <t>PROVEEDOR</t>
  </si>
  <si>
    <t>INFORMACIÓN DE LA PROPUESTA ECONÓMICA</t>
  </si>
  <si>
    <t>INFORMACIÓN DE LA COTIZACIÓN</t>
  </si>
  <si>
    <r>
      <rPr>
        <sz val="11"/>
        <color indexed="8"/>
        <rFont val="Calibri"/>
        <family val="2"/>
      </rPr>
      <t>ESPECIFICACIONES TÉCNICAS</t>
    </r>
    <r>
      <rPr>
        <sz val="11"/>
        <color theme="1"/>
        <rFont val="Calibri"/>
        <family val="2"/>
        <scheme val="minor"/>
      </rPr>
      <t>: A continuación se detalla la cantidad y el tipo de artículo y/o servicio requerido por la Institución.</t>
    </r>
  </si>
  <si>
    <r>
      <rPr>
        <sz val="11"/>
        <color indexed="8"/>
        <rFont val="Calibri"/>
        <family val="2"/>
      </rPr>
      <t>RECHAZO Y ELIMINACIÓN DE PROPUESTAS:</t>
    </r>
    <r>
      <rPr>
        <sz val="11"/>
        <color theme="1"/>
        <rFont val="Calibri"/>
        <family val="2"/>
        <scheme val="minor"/>
      </rPr>
      <t xml:space="preserve"> Serán eliminadas las propuestas, sin que haya lugar a su evaluación, en los siguientes casos:
• Cuando el proponente no acredite los requisitos de participación establecidos.
• Cuando no se cumpla con alguna de las Especificaciones Técnicas.
• Cuando no se presenten los documentos subsanables requeridos por parte de la Institución, dentro del plazo otorgado para el efecto.
• Cuando el objeto social o actividad mercantil del proponente no corresponda a lo requerido por la Institución, exigencia que aplica a cada uno de los integrantes de Consorcios, Uniones Temporales u otra forma de asociación.
• Si luego de evaluadas las propuestas, se encuentra contradicción entre los documentos aportados en la propuesta o entre esta y lo confrontado con la realidad.
La Institución se reserva el derecho de admitir aquellas propuestas que presenten defectos de forma, omisiones o errores, siempre que estos sean subsanables y no alteren el tratamiento igualitario de las mismas.</t>
    </r>
  </si>
  <si>
    <t>70%</t>
  </si>
  <si>
    <t>30%</t>
  </si>
  <si>
    <t>Verificado por la I.E.</t>
  </si>
  <si>
    <t>Fotocopia de la cédula del contratista o representante legal.</t>
  </si>
  <si>
    <t>Certificado de antecedentes de la procuraduría no mayor a 3 meses.</t>
  </si>
  <si>
    <t>Certificado de antecedentes de la contraloría no mayor a 3 meses.</t>
  </si>
  <si>
    <t xml:space="preserve">Certificado de antecedentes judiciales (Policía) no mayor a  3 meses. </t>
  </si>
  <si>
    <t>Certificado de medidas correctivas (RNMC).</t>
  </si>
  <si>
    <t>Certificado de paz y salvo en aportes al Sistema de Seguridad Social (para contratos de bienes y/o servicios) del proponente y sus empleados o copia del pago de SEGURIDAD SOCIAL.</t>
  </si>
  <si>
    <t>Certificado de alturas (cuando sea requerido).</t>
  </si>
  <si>
    <t>Calificación económica (menor precio)</t>
  </si>
  <si>
    <t>Observación</t>
  </si>
  <si>
    <t>SEGUNDA. FORMA DE PAGO:  La institución cancelará el valor del contrato conforme a los bienes solicitados, hasta dentro de los ocho (8) días hábiles posterior al recibo a satisfacción, mediante cheque girado directamente al contratista, con sello de cruzado y de pago al primer beneficiario o mediante transacción bancaria al contratista, con estricto cumplimiento al certificado de disponibilidad presupuestal expedido por la tesorería.--------------</t>
  </si>
  <si>
    <t>REQUISITOS HABILITANTES PARA TRANSPORTE</t>
  </si>
  <si>
    <t>C40</t>
  </si>
  <si>
    <t>TRANSPORTE</t>
  </si>
  <si>
    <t>Fotocopia de la licencia de tránsito del vehículo, expedida por el Ministerio de Transporte o el organismo que haga sus veces.</t>
  </si>
  <si>
    <t>Fotocopia de la cédula del conductor.</t>
  </si>
  <si>
    <t>Fotocopia de la licencia de conducción del coductor.</t>
  </si>
  <si>
    <t>Fotocopia de la constancia de revisión técnico mecánica del vehículo, expedida por un centro de diagnóstico autorizado y que se encuentre vigente.</t>
  </si>
  <si>
    <t>Fotocopia del seguro obligatorio de accidentes de tránsito (SOAT).</t>
  </si>
  <si>
    <t>Fotocopia de las pólizas de responsabilidad civil contractual y extracontractual vigentes.</t>
  </si>
  <si>
    <t>Registro del Ministerio de Transporte que presta servicio especial de pasajeros (Decreto 1079 de 2015).</t>
  </si>
  <si>
    <t>C41</t>
  </si>
  <si>
    <t>ALTURAS</t>
  </si>
  <si>
    <t>C42</t>
  </si>
  <si>
    <t>CÁMARA DE COMERCIO</t>
  </si>
  <si>
    <t>VALOR UNITARIO</t>
  </si>
  <si>
    <t>VALOR TOTAL</t>
  </si>
  <si>
    <t>Certificado  de Existencia y Representación Legal  o Registro Mercantil (Cámara de Comercio) no mayor a 3 meses (Si el proponente cuenta con este certificado lo puede anexar, de lo contrario si no lo aporta no es causal de rechazo y puede seguir en el proceso).</t>
  </si>
  <si>
    <t>Cámara de Comercio no mayor a 3 meses (Si el proponente cuenta con este certificado lo puede anexar, de lo contrario si no lo aporta no es causal de rechazo y puede seguir en el proceso)</t>
  </si>
  <si>
    <t>Recepción de propuestas, en rectoría o secretaría de 10:00 a. m. a 2:00 p. m., en sobre cerrado.</t>
  </si>
  <si>
    <t>SUPERVISIÓN DEL CONTRATO: Durante la ejecución del contrato, la supervisión del mismo estará a cargo de la rectoría.</t>
  </si>
  <si>
    <r>
      <rPr>
        <sz val="11"/>
        <color indexed="8"/>
        <rFont val="Calibri"/>
        <family val="2"/>
      </rPr>
      <t>ARTÍCULO SEGUNDO.</t>
    </r>
    <r>
      <rPr>
        <sz val="11"/>
        <color theme="1"/>
        <rFont val="Calibri"/>
        <family val="2"/>
        <scheme val="minor"/>
      </rPr>
      <t xml:space="preserve">  En los estudios previos se ha  definido la necesidad, el objeto a contratar, las especificaciones técnicas, el presupuesto asignado, los fundamentos jurídicos de los factores de selección, los criterios de selección y el análisis, la supervisión del contrato y la cobertura de riesgos.
</t>
    </r>
    <r>
      <rPr>
        <sz val="11"/>
        <color indexed="8"/>
        <rFont val="Calibri"/>
        <family val="2"/>
      </rPr>
      <t>ARTÍCULO TERCERO.</t>
    </r>
    <r>
      <rPr>
        <sz val="11"/>
        <color theme="1"/>
        <rFont val="Calibri"/>
        <family val="2"/>
        <scheme val="minor"/>
      </rPr>
      <t xml:space="preserve"> Se convoca a las veedurías ciudadanas a que participen en el desarrollo del proceso de  selección, en la ejecución y liquidación del contrato.
</t>
    </r>
  </si>
  <si>
    <t>Solicitará al CONTRATISTA la información y los documentos que considere necesarios en relación con el desarrollo del mismo.------</t>
  </si>
  <si>
    <t>COMPRA</t>
  </si>
  <si>
    <t>C43</t>
  </si>
  <si>
    <t>C44</t>
  </si>
  <si>
    <t>C45</t>
  </si>
  <si>
    <t>C46</t>
  </si>
  <si>
    <t>SERVICIO DE TRANSPORTE</t>
  </si>
  <si>
    <t>HONORARIOS</t>
  </si>
  <si>
    <t>C47</t>
  </si>
  <si>
    <t>SOFTWARE ACADÉMICO</t>
  </si>
  <si>
    <t>CONTRATO DE OBRA</t>
  </si>
  <si>
    <t>BASE EN PESOS</t>
  </si>
  <si>
    <t>% DE RETENCIÓN DECLARANTES</t>
  </si>
  <si>
    <t>% RETENCIÓN NO DECLARANTES</t>
  </si>
  <si>
    <t>CONTRIBUCIÓN ESPECIAL</t>
  </si>
  <si>
    <t>COMPRAS: Común y Simplificado</t>
  </si>
  <si>
    <t xml:space="preserve">SERVICIOS: Común y Simplificado </t>
  </si>
  <si>
    <t>TRANSPORTE; SOFTWARE y HONORARIOS</t>
  </si>
  <si>
    <t>CONTRIBUCIÓN ESPECIAL y CONTRATO DE OBRA</t>
  </si>
  <si>
    <t>Hoja de vida pública</t>
  </si>
  <si>
    <r>
      <t xml:space="preserve">REQUISITOS  HABILITANTES: </t>
    </r>
    <r>
      <rPr>
        <b/>
        <sz val="11"/>
        <color indexed="8"/>
        <rFont val="Calibri"/>
        <family val="2"/>
      </rPr>
      <t xml:space="preserve"> </t>
    </r>
    <r>
      <rPr>
        <sz val="11"/>
        <color indexed="8"/>
        <rFont val="Calibri"/>
        <family val="2"/>
      </rPr>
      <t xml:space="preserve"> Los proponentes deben anexar copia de los siguientes documentos.
• Certificado  de Existencia y Representación Legal  o Registro Mercantil (Cámara de Comercio) no mayor a 3 meses (Si el proponente cuenta con este certificado lo puede anexar, de lo contrario si no lo aporta no es causal de rechazo y puede seguir en el proceso).
• Registro Único Tributario (RUT).
• Fotocopia de la cédula del contratista o representante legal.
• Certificado de antecedentes de la procuraduría no mayor a 3 meses.
• Certificado de antecedentes de la contraloría no mayor a 3 meses.
• Certificado de antecedentes judiciales (Policía) no mayor a  3 meses. 
• Certificado de medidas correctivas (RNMC).
• Certificado de paz y salvo en aportes al Sistema de Seguridad Social (para contratos de bienes y/o servicios) del proponente y sus empleados o copia de la planilla de pago de la SEGURIDAD SOCIAL.
• Propuesta debidamente firmada con los datos del proponente y/o papel membrete de la empresa. 
• Certificado de alturas (cuando sea requerido).
• Hoja de vida Pública
• Las contrataciones de obra pública contratadas con personas jurídicas no pueden facturar IVA, y la retención que se le practicará es el 2% de contrato de obra pública.
</t>
    </r>
  </si>
  <si>
    <t>ESTUDIO DE MERCADO: Este apartado del proceso se vivencia antes de la realización de la disponibilidad presupuestal, previa solicitud de cotizaciones en medio impreso, vía correo electrónico, telefónicamente, histórico de compras o en rastreo por la red. Su producto es utilizado para definir el valor promedio del costo total del contrato y de esta manera darle un valor a la disponibilidad.</t>
  </si>
  <si>
    <t>Además para transporte:
• Fotocopia de la licencia de tránsito del vehículo, expedida por el Ministerio de Transporte o el organismo que haga sus veces.
• Fotocopia de la cédula del conductor.
• Fotocopia de la licencia de conducción del conductor.
• Fotocopia de la constancia de revisión técnico mecánica del vehículo, expedida por un centro de diagnóstico autorizado y que se encuentre vigente.
• Fotocopia del seguro obligatorio de accidentes de tránsito (SOAT).
• Fotocopia de las pólizas de responsabilidad civil contractual y extracontractual vigentes.                                                       
• Registro del Ministerio de Transporte que presta servicio especial de pasajeros (Decreto 1079 de 2015).</t>
  </si>
  <si>
    <t>Además para transporte:
• Fotocopia de la licencia de tránsito del vehículo, expedida por el Ministerio de Transporte o el organismo que haga sus veces.
• Fotocopia de la cédula del conductor.
• Fotocopia de la licencia de conducción del conductor.
• Fotocopia de la constancia de revisión técnico mecánica del vehículo, expedida por un centro de diagnóstico autorizado y que se encuentre vigente.
• Fotocopia del seguro obligatorio de accidentes de tránsito (SOAT).
• Fotocopia de las pólizas de responsabilidad civil contractual y extracontractual vigentes.                                                     
• Registro del Ministerio de Transporte que presta servicio especial de pasajeros (Decreto 1079 de 2015).</t>
  </si>
  <si>
    <t>aun durante el Estado de Emergencia declarado según el Decreto 457 del 22 de marzo de 2020, por medio del cual se imparten instruccciones en virtud de la Emergencia Sanitaria generada por la pandemia del Coronavirus COVID-19 y el mantenimiento del orden público (Aislamiento Preventivo Obligatorio)</t>
  </si>
  <si>
    <r>
      <rPr>
        <sz val="11"/>
        <color indexed="8"/>
        <rFont val="Calibri"/>
        <family val="2"/>
      </rPr>
      <t>EVALUACIÓN DE LAS PROPUESTAS Y ADJUDICACIÓN DEL CONTRATO:</t>
    </r>
    <r>
      <rPr>
        <sz val="11"/>
        <color theme="1"/>
        <rFont val="Calibri"/>
        <family val="2"/>
        <scheme val="minor"/>
      </rPr>
      <t xml:space="preserve"> La evaluación de las propuestas se llevará a cabo de forma virtual una vez termine el plazo de entrega de propuestas. Este proceso lo liderará Rectoría.</t>
    </r>
  </si>
  <si>
    <r>
      <rPr>
        <sz val="11"/>
        <color indexed="8"/>
        <rFont val="Calibri"/>
        <family val="2"/>
      </rPr>
      <t>EVALUACIÓN DE LAS PROPUESTAS Y ADJUDICACIÓN DEL CONTRATO:</t>
    </r>
    <r>
      <rPr>
        <b/>
        <sz val="11"/>
        <color indexed="8"/>
        <rFont val="Calibri"/>
        <family val="2"/>
      </rPr>
      <t xml:space="preserve"> </t>
    </r>
    <r>
      <rPr>
        <sz val="11"/>
        <color theme="1"/>
        <rFont val="Calibri"/>
        <family val="2"/>
        <scheme val="minor"/>
      </rPr>
      <t xml:space="preserve"> La evaluación de las propuestas se llevará a cabo de forma virtual una vez termine el plazo de entrega de propuestas. Este proceso lo liderará Rectoría.</t>
    </r>
  </si>
  <si>
    <t>INSTITUCIÓN EDUCATIVA JOAQUIN VALLEJO ARBELAEZ</t>
  </si>
  <si>
    <t>CARLOS MARIO GIRALDO JIMENEZ
Rector</t>
  </si>
  <si>
    <t>CARLOS MARIO GIRALDO JIMENEZ</t>
  </si>
  <si>
    <t>71.661.819</t>
  </si>
  <si>
    <t>CARRERA 19 N° 59 C 175</t>
  </si>
  <si>
    <t>292 61 99</t>
  </si>
  <si>
    <t xml:space="preserve">4. Que en cumplimiento del reglamento aprobado por el Consejo Directivo, se publicará por el término de hasta dos (2) días la invitación pública, con el fin de suministrar al público la información concerniente al proceso de contratación.
5. Que por lo anteriormente expuesto, la Rectoría de la Institución Educativa
</t>
  </si>
  <si>
    <t xml:space="preserve">PRESENTACIÓN  DE  LAS  PROPUESTAS: Las  propuestas   se deben  presentar  firmadas virtualmente y/o en papel membrete con todos los requisitos habilitantes del proponente y debe contener lo siguiente
• Oferta  Económica o Cotización de los bienes y/o servicios, según  las  especificaciones técnicas  exigidas  por  la  Institución Educativa.
</t>
  </si>
  <si>
    <r>
      <rPr>
        <sz val="11"/>
        <color indexed="8"/>
        <rFont val="Calibri"/>
        <family val="2"/>
      </rPr>
      <t>METODOLOGÍA: Luego de recibidas las propuestas y realizado el acta de cierre, se verificará el cumplimiento por parte de los proponentes de los requisitos habilitantes. En caso de que los proponentes no reúnan todos los requisitos se les dará un día para subsanar, procediendo nuevamente a la verificación. Posteriormente se evalúa cada proponente.</t>
    </r>
    <r>
      <rPr>
        <sz val="11"/>
        <color theme="1"/>
        <rFont val="Calibri"/>
        <family val="2"/>
        <scheme val="minor"/>
      </rPr>
      <t xml:space="preserve">
Si se presenta un solo proponente se le adjudicará a este, siempre y cuando no se supere el presupuesto oficial.</t>
    </r>
  </si>
  <si>
    <t>3. Que  en cumplimiento de lo estipulado en las normas antes referidas, se publicó en la página web institucional www.iejva.edu.co los documentos que respaldan la presente  convocatoria pública.</t>
  </si>
  <si>
    <t>Acuerdo #5 del 22 de abril de 2020</t>
  </si>
  <si>
    <r>
      <rPr>
        <sz val="11"/>
        <color indexed="8"/>
        <rFont val="Calibri"/>
        <family val="2"/>
      </rPr>
      <t>CRITERIOS DE EVALUACIÓN Y ESCOGENCIA DE LA PROPUESTA</t>
    </r>
    <r>
      <rPr>
        <b/>
        <sz val="11"/>
        <color indexed="8"/>
        <rFont val="Calibri"/>
        <family val="2"/>
      </rPr>
      <t xml:space="preserve">: </t>
    </r>
    <r>
      <rPr>
        <sz val="11"/>
        <color theme="1"/>
        <rFont val="Calibri"/>
        <family val="2"/>
        <scheme val="minor"/>
      </rPr>
      <t>La escogencia de la propuesta será aquella que cumpla los requisitos exigidos por la Institución Educativa y la que obtenga mayor puntuación en el proceso de calificación, de acuerdo al Decreto 1082 de 2015 y al Decreto 1075 de 2015. En caso de empate en la sumatoria de los puntajes, la Institución adjudicará a quien haya enviado primero la propuesta al correo electronico  mariogiraldo2011@gmail.com.</t>
    </r>
  </si>
  <si>
    <r>
      <rPr>
        <sz val="11"/>
        <color theme="1"/>
        <rFont val="Calibri"/>
        <family val="2"/>
        <scheme val="minor"/>
      </rPr>
      <t>METODOLOGÍA:</t>
    </r>
    <r>
      <rPr>
        <b/>
        <sz val="11"/>
        <color indexed="8"/>
        <rFont val="Calibri"/>
        <family val="2"/>
      </rPr>
      <t xml:space="preserve"> </t>
    </r>
    <r>
      <rPr>
        <sz val="11"/>
        <color theme="1"/>
        <rFont val="Calibri"/>
        <family val="2"/>
        <scheme val="minor"/>
      </rPr>
      <t>Luego de recibidas las propuestas al correo mariogiraldo2011@gmail.com con todos los requisitos habilitantes, y realizado el acta de cierre, se verificará el cumplimiento por parte de los proponentes de los requisitos habilitantes. 
Si se presenta un solo proponente se le adjudicará a este, siempre y cuando no se supere el presupuesto oficial.</t>
    </r>
    <r>
      <rPr>
        <b/>
        <sz val="11"/>
        <color indexed="8"/>
        <rFont val="Calibri"/>
        <family val="2"/>
      </rPr>
      <t xml:space="preserve">
</t>
    </r>
  </si>
  <si>
    <r>
      <rPr>
        <sz val="11"/>
        <color indexed="8"/>
        <rFont val="Calibri"/>
        <family val="2"/>
      </rPr>
      <t>CRITERIOS DE EVALUACIÓN Y ESCOGENCIA DE LA PROPUESTA:</t>
    </r>
    <r>
      <rPr>
        <b/>
        <sz val="11"/>
        <color indexed="8"/>
        <rFont val="Calibri"/>
        <family val="2"/>
      </rPr>
      <t xml:space="preserve"> </t>
    </r>
    <r>
      <rPr>
        <sz val="11"/>
        <color theme="1"/>
        <rFont val="Calibri"/>
        <family val="2"/>
        <scheme val="minor"/>
      </rPr>
      <t xml:space="preserve">La escogencia de la propuesta será aquella que cumpla los requisitos exigidos por la Institución Educativa, y que obtenga mayor puntuación en el proceso de calificación, de acuerdo al Decreto 1082 del 2015. En caso de empate en la sumatoria de los puntajes, la Institución adjudicará a quien haya enviado primero la propuesta al correo mariogiraldo2011@gmail.com, según el orden de entrega de las mismas. Los  criterios a tener en cuenta son los siguientes:
</t>
    </r>
  </si>
  <si>
    <t>Página Web www.iejva.edu.co</t>
  </si>
  <si>
    <t>Proceso liderado por Rectoría en Página Web www.iejva.edu.co</t>
  </si>
  <si>
    <t xml:space="preserve">En correo Institucional mariogiraldo2011@gmail.com durante la vigencia se habilita la recepción de observaciones hasta el día de cierre </t>
  </si>
  <si>
    <t>Compra de materiales tecnologicos</t>
  </si>
  <si>
    <t xml:space="preserve">Compra de materiales tecnológicos los cuales son necesarios para el correcto funcionamiento de los equipos de computo, utilizados para la realizacion de actividades académicas y ludicas con los estudiantes, lo cual permite tener espacios diferentes de aprendizaje y mejorar el nivel académico. Con esto se benefician todos los estudiantes de la institucion. </t>
  </si>
  <si>
    <t>Un millon trescientos setenta y cinco mil pesos M/L</t>
  </si>
  <si>
    <t>27 de marzo de 2020</t>
  </si>
  <si>
    <t>Recepcion de cotizaciones al correo electronico</t>
  </si>
  <si>
    <t>13 de junio de 2020</t>
  </si>
  <si>
    <t>16 de junio de 2020</t>
  </si>
  <si>
    <t>23 de junio de 2020</t>
  </si>
  <si>
    <t>COMBO TECLADO Y MAUSE ALAMBRICO</t>
  </si>
  <si>
    <t>DIADEMA PARA SONIDO</t>
  </si>
  <si>
    <t>BASE PARA VIDEO BEAM</t>
  </si>
  <si>
    <t>JOSE ALEXANDER ARBOLEDA CARDONA</t>
  </si>
  <si>
    <t>71,377,271-6</t>
  </si>
  <si>
    <t>COPIMARKS S.A.S</t>
  </si>
  <si>
    <t>900,722,974-1</t>
  </si>
  <si>
    <t xml:space="preserve">ML INFORMATICA S.A.S </t>
  </si>
  <si>
    <t>900,298,316-6</t>
  </si>
  <si>
    <t>18 de junio de 2020</t>
  </si>
  <si>
    <t>ARTÍCULO CUARTO. La consulta y retiro de la invitación pública y estudios previos se realiza en la páagina Web Institucional www.iejva.edu.co  y las propuestas con requisitos habilitantes serán recibidas en el correo mariogiraldo2011@gmail.com
ARTÍCULO QUINTO. La presente resolución rige a partir de la fecha de expedición.</t>
  </si>
  <si>
    <t>En correo Institucional mariogiraldo2011@gmail.com / durante la vigencia se habilita la recepción de propuestas hasta el día de cierre a las 5pm</t>
  </si>
  <si>
    <t>17 de junio de 2020</t>
  </si>
  <si>
    <t>19 de junio de 2020</t>
  </si>
  <si>
    <t>4 dias</t>
  </si>
  <si>
    <t>71.377.271</t>
  </si>
  <si>
    <t>Medellin</t>
  </si>
  <si>
    <t>Un millon trescientos cincuenta mil pesos M/L</t>
  </si>
  <si>
    <t>SI</t>
  </si>
  <si>
    <t>NO</t>
  </si>
  <si>
    <t>16 de junio de 2020 Hora 16:29</t>
  </si>
  <si>
    <t>P/ Jose Alexander Arboleda Cardona</t>
  </si>
  <si>
    <t>6</t>
  </si>
  <si>
    <t>007- 06-2020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</si>
</sst>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_(&quot;$&quot;\ * \(#,##0.00\);_(&quot;$&quot;\ * &quot;-&quot;??_);_(@_)"/>
    <numFmt numFmtId="165" formatCode="&quot;$&quot;\ #,##0"/>
    <numFmt numFmtId="166" formatCode="[$$-240A]\ #,##0"/>
    <numFmt numFmtId="167" formatCode="_(&quot;$&quot;\ * #,##0_);_(&quot;$&quot;\ * \(#,##0\);_(&quot;$&quot;\ * &quot;-&quot;??_);_(@_)"/>
    <numFmt numFmtId="168" formatCode="&quot;$&quot;#,##0"/>
  </numFmts>
  <fonts count="47" x14ac:knownFonts="1">
    <font>
      <sz val="11"/>
      <color theme="1"/>
      <name val="Calibri"/>
      <family val="2"/>
      <scheme val="minor"/>
    </font>
    <font>
      <sz val="11"/>
      <color indexed="8"/>
      <name val="Calibri"/>
      <family val="2"/>
    </font>
    <font>
      <b/>
      <sz val="11"/>
      <color indexed="8"/>
      <name val="Calibri"/>
      <family val="2"/>
    </font>
    <font>
      <sz val="12"/>
      <color indexed="8"/>
      <name val="Arial"/>
      <family val="2"/>
    </font>
    <font>
      <sz val="10"/>
      <color indexed="10"/>
      <name val="Calibri"/>
      <family val="2"/>
    </font>
    <font>
      <b/>
      <sz val="10"/>
      <color indexed="8"/>
      <name val="Calibri"/>
      <family val="2"/>
    </font>
    <font>
      <sz val="10"/>
      <color indexed="8"/>
      <name val="Calibri"/>
      <family val="2"/>
    </font>
    <font>
      <sz val="11"/>
      <color theme="1"/>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sz val="11"/>
      <color rgb="FFC00000"/>
      <name val="Calibri"/>
      <family val="2"/>
      <scheme val="minor"/>
    </font>
    <font>
      <b/>
      <sz val="11"/>
      <name val="Calibri"/>
      <family val="2"/>
      <scheme val="minor"/>
    </font>
    <font>
      <b/>
      <sz val="11"/>
      <color rgb="FFC00000"/>
      <name val="Calibri"/>
      <family val="2"/>
      <scheme val="minor"/>
    </font>
    <font>
      <sz val="12"/>
      <color theme="1"/>
      <name val="Arial"/>
      <family val="2"/>
    </font>
    <font>
      <b/>
      <sz val="10"/>
      <color rgb="FF000000"/>
      <name val="Arial"/>
      <family val="2"/>
    </font>
    <font>
      <sz val="11"/>
      <color rgb="FF000000"/>
      <name val="Arial"/>
      <family val="2"/>
    </font>
    <font>
      <b/>
      <sz val="12"/>
      <color theme="1"/>
      <name val="Agency FB"/>
      <family val="2"/>
    </font>
    <font>
      <sz val="10"/>
      <color theme="1"/>
      <name val="Calibri"/>
      <family val="2"/>
      <scheme val="minor"/>
    </font>
    <font>
      <sz val="11"/>
      <color theme="1"/>
      <name val="Arial"/>
      <family val="2"/>
    </font>
    <font>
      <sz val="14"/>
      <color theme="1"/>
      <name val="Arial"/>
      <family val="2"/>
    </font>
    <font>
      <sz val="14"/>
      <color theme="1"/>
      <name val="Calibri"/>
      <family val="2"/>
      <scheme val="minor"/>
    </font>
    <font>
      <b/>
      <sz val="11"/>
      <color rgb="FFFF0000"/>
      <name val="Calibri"/>
      <family val="2"/>
      <scheme val="minor"/>
    </font>
    <font>
      <b/>
      <sz val="9"/>
      <color rgb="FF000000"/>
      <name val="Arial"/>
      <family val="2"/>
    </font>
    <font>
      <sz val="9"/>
      <color theme="1"/>
      <name val="Calibri"/>
      <family val="2"/>
      <scheme val="minor"/>
    </font>
    <font>
      <b/>
      <sz val="11"/>
      <color theme="1"/>
      <name val="Arial"/>
      <family val="2"/>
    </font>
    <font>
      <sz val="12"/>
      <color theme="1"/>
      <name val="Calibri"/>
      <family val="2"/>
      <scheme val="minor"/>
    </font>
    <font>
      <sz val="12"/>
      <name val="Calibri"/>
      <family val="2"/>
      <scheme val="minor"/>
    </font>
    <font>
      <b/>
      <sz val="12"/>
      <color theme="1"/>
      <name val="Calibri"/>
      <family val="2"/>
      <scheme val="minor"/>
    </font>
    <font>
      <b/>
      <sz val="10"/>
      <color theme="1"/>
      <name val="Arial"/>
      <family val="2"/>
    </font>
    <font>
      <b/>
      <sz val="12"/>
      <color rgb="FFFF0000"/>
      <name val="Calibri"/>
      <family val="2"/>
      <scheme val="minor"/>
    </font>
    <font>
      <b/>
      <sz val="11"/>
      <color rgb="FF000000"/>
      <name val="Arial"/>
      <family val="2"/>
    </font>
    <font>
      <b/>
      <sz val="11.5"/>
      <color rgb="FF000000"/>
      <name val="Arial"/>
      <family val="2"/>
    </font>
    <font>
      <sz val="10"/>
      <color rgb="FF000000"/>
      <name val="Arial"/>
      <family val="2"/>
    </font>
    <font>
      <sz val="11"/>
      <color rgb="FF000000"/>
      <name val="Calibri"/>
      <family val="2"/>
      <scheme val="minor"/>
    </font>
    <font>
      <b/>
      <sz val="14"/>
      <color theme="1"/>
      <name val="Calibri"/>
      <family val="2"/>
      <scheme val="minor"/>
    </font>
    <font>
      <sz val="11"/>
      <name val="Calibri"/>
      <family val="2"/>
      <scheme val="minor"/>
    </font>
    <font>
      <b/>
      <sz val="14"/>
      <color theme="1"/>
      <name val="Arial"/>
      <family val="2"/>
    </font>
    <font>
      <b/>
      <sz val="11"/>
      <color theme="1"/>
      <name val="Calibri Light"/>
      <family val="2"/>
      <scheme val="major"/>
    </font>
    <font>
      <b/>
      <sz val="12"/>
      <color theme="1"/>
      <name val="Arial"/>
      <family val="2"/>
    </font>
    <font>
      <sz val="10"/>
      <name val="Calibri"/>
      <family val="2"/>
      <scheme val="minor"/>
    </font>
    <font>
      <b/>
      <sz val="9"/>
      <color theme="1"/>
      <name val="Calibri Light"/>
      <family val="2"/>
      <scheme val="major"/>
    </font>
    <font>
      <b/>
      <u/>
      <sz val="10"/>
      <color theme="1"/>
      <name val="Calibri"/>
      <family val="2"/>
      <scheme val="minor"/>
    </font>
    <font>
      <b/>
      <u/>
      <sz val="11"/>
      <color theme="1"/>
      <name val="Calibri"/>
      <family val="2"/>
      <scheme val="minor"/>
    </font>
    <font>
      <sz val="10"/>
      <color theme="1"/>
      <name val="Arial"/>
      <family val="2"/>
    </font>
    <font>
      <b/>
      <u/>
      <sz val="12"/>
      <color theme="1"/>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33CC3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rgb="FFFFFF00"/>
        <bgColor indexed="64"/>
      </patternFill>
    </fill>
    <fill>
      <patternFill patternType="solid">
        <fgColor rgb="FF00B050"/>
        <bgColor indexed="64"/>
      </patternFill>
    </fill>
    <fill>
      <patternFill patternType="solid">
        <fgColor rgb="FFFF3333"/>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164" fontId="7" fillId="0" borderId="0" applyFont="0" applyFill="0" applyBorder="0" applyAlignment="0" applyProtection="0"/>
  </cellStyleXfs>
  <cellXfs count="443">
    <xf numFmtId="0" fontId="0" fillId="0" borderId="0" xfId="0"/>
    <xf numFmtId="0" fontId="0" fillId="0" borderId="0" xfId="0" applyBorder="1"/>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0" fillId="0" borderId="0" xfId="0" applyAlignment="1"/>
    <xf numFmtId="0" fontId="0" fillId="0" borderId="0" xfId="0" applyAlignment="1">
      <alignment horizontal="justify" vertical="justify"/>
    </xf>
    <xf numFmtId="0" fontId="15" fillId="0" borderId="0" xfId="0" applyFont="1"/>
    <xf numFmtId="0" fontId="20" fillId="0" borderId="0" xfId="0" applyFont="1"/>
    <xf numFmtId="2" fontId="0" fillId="0" borderId="0" xfId="0" applyNumberFormat="1" applyAlignment="1">
      <alignment horizontal="center" vertical="justify"/>
    </xf>
    <xf numFmtId="2" fontId="10" fillId="0" borderId="1" xfId="0" applyNumberFormat="1" applyFont="1" applyBorder="1" applyAlignment="1">
      <alignment horizontal="center" vertical="center"/>
    </xf>
    <xf numFmtId="2" fontId="10" fillId="0" borderId="1" xfId="0" applyNumberFormat="1" applyFont="1" applyBorder="1" applyAlignment="1">
      <alignment horizontal="center" vertical="justify"/>
    </xf>
    <xf numFmtId="1" fontId="0" fillId="0" borderId="1" xfId="0" applyNumberFormat="1" applyBorder="1" applyAlignment="1">
      <alignment horizontal="center" vertical="center"/>
    </xf>
    <xf numFmtId="2" fontId="17" fillId="0" borderId="0" xfId="0" applyNumberFormat="1" applyFont="1" applyBorder="1" applyAlignment="1">
      <alignment vertical="center" wrapText="1"/>
    </xf>
    <xf numFmtId="0" fontId="17" fillId="0" borderId="0" xfId="0" applyFont="1" applyBorder="1" applyAlignment="1">
      <alignment vertical="center" wrapText="1"/>
    </xf>
    <xf numFmtId="2" fontId="0" fillId="0" borderId="0" xfId="0" applyNumberFormat="1" applyBorder="1" applyAlignment="1">
      <alignment vertical="center"/>
    </xf>
    <xf numFmtId="0" fontId="0" fillId="0" borderId="0" xfId="0" applyBorder="1" applyAlignment="1">
      <alignment vertical="center"/>
    </xf>
    <xf numFmtId="0" fontId="16" fillId="0" borderId="2" xfId="0" applyFont="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Border="1" applyAlignment="1">
      <alignment horizontal="center" vertical="center"/>
    </xf>
    <xf numFmtId="49" fontId="26" fillId="0" borderId="2" xfId="0" applyNumberFormat="1" applyFont="1" applyBorder="1" applyAlignment="1">
      <alignment horizontal="center" vertical="center" wrapText="1"/>
    </xf>
    <xf numFmtId="9" fontId="15" fillId="0" borderId="2" xfId="0" applyNumberFormat="1" applyFont="1" applyBorder="1" applyAlignment="1">
      <alignment horizontal="center" vertical="center"/>
    </xf>
    <xf numFmtId="9" fontId="15" fillId="0" borderId="4" xfId="0" applyNumberFormat="1" applyFont="1" applyBorder="1" applyAlignment="1">
      <alignment horizontal="center" vertical="center" wrapText="1"/>
    </xf>
    <xf numFmtId="9" fontId="15" fillId="0" borderId="6" xfId="0" applyNumberFormat="1" applyFont="1" applyBorder="1" applyAlignment="1">
      <alignment horizontal="center" vertical="center" wrapText="1"/>
    </xf>
    <xf numFmtId="0" fontId="0" fillId="0" borderId="0" xfId="0" applyFont="1" applyAlignment="1">
      <alignment horizontal="left" vertical="top" wrapText="1"/>
    </xf>
    <xf numFmtId="0" fontId="0" fillId="0" borderId="0" xfId="0" applyFill="1"/>
    <xf numFmtId="0" fontId="0" fillId="0" borderId="0" xfId="0" applyAlignment="1">
      <alignment vertical="center" wrapText="1"/>
    </xf>
    <xf numFmtId="0" fontId="19" fillId="0" borderId="0" xfId="0" applyFont="1"/>
    <xf numFmtId="0" fontId="30" fillId="0" borderId="0" xfId="0" applyFont="1" applyBorder="1" applyAlignment="1">
      <alignment vertical="center" wrapText="1"/>
    </xf>
    <xf numFmtId="0" fontId="0" fillId="0" borderId="0" xfId="0" applyAlignment="1">
      <alignment horizontal="left" vertical="top" wrapText="1"/>
    </xf>
    <xf numFmtId="0" fontId="10"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0" fontId="10"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justify" vertical="center" wrapText="1"/>
    </xf>
    <xf numFmtId="14" fontId="0" fillId="0" borderId="0" xfId="0" applyNumberFormat="1"/>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justify" vertical="center" wrapText="1"/>
    </xf>
    <xf numFmtId="0" fontId="16" fillId="0" borderId="1" xfId="0" applyFont="1" applyFill="1" applyBorder="1" applyAlignment="1">
      <alignment horizontal="center" vertical="center" wrapText="1"/>
    </xf>
    <xf numFmtId="0" fontId="1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19" fillId="0" borderId="0" xfId="0" applyFont="1" applyAlignment="1">
      <alignment horizontal="left" vertical="top" wrapText="1"/>
    </xf>
    <xf numFmtId="0" fontId="19" fillId="0" borderId="0" xfId="0" applyFont="1" applyAlignment="1">
      <alignment horizontal="left" wrapText="1"/>
    </xf>
    <xf numFmtId="0" fontId="6" fillId="0" borderId="0" xfId="0" applyFont="1" applyAlignment="1">
      <alignment horizontal="left" vertical="top" wrapText="1"/>
    </xf>
    <xf numFmtId="0" fontId="10"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justify"/>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0" fillId="0" borderId="1" xfId="0" applyNumberFormat="1" applyBorder="1" applyAlignment="1">
      <alignment horizontal="center" vertical="center"/>
    </xf>
    <xf numFmtId="168" fontId="0" fillId="0" borderId="1" xfId="0" applyNumberFormat="1" applyBorder="1" applyAlignment="1">
      <alignment horizontal="center" vertical="center"/>
    </xf>
    <xf numFmtId="0" fontId="15" fillId="0" borderId="0" xfId="0" applyFont="1" applyBorder="1" applyAlignment="1">
      <alignment vertical="center" wrapText="1"/>
    </xf>
    <xf numFmtId="0" fontId="0" fillId="0" borderId="0" xfId="0" applyFont="1" applyAlignment="1">
      <alignment horizontal="justify" vertical="top" wrapText="1"/>
    </xf>
    <xf numFmtId="0" fontId="19" fillId="0" borderId="0" xfId="0" applyFont="1" applyAlignment="1">
      <alignment horizontal="justify" vertical="top" wrapText="1"/>
    </xf>
    <xf numFmtId="0" fontId="6" fillId="0" borderId="0" xfId="0" applyFont="1" applyAlignment="1">
      <alignment horizontal="justify" vertical="top" wrapText="1"/>
    </xf>
    <xf numFmtId="0" fontId="42" fillId="0" borderId="0" xfId="0" applyFont="1" applyAlignment="1">
      <alignment horizontal="left" wrapText="1"/>
    </xf>
    <xf numFmtId="0" fontId="42" fillId="0" borderId="0" xfId="0" applyFont="1" applyAlignment="1">
      <alignment wrapText="1"/>
    </xf>
    <xf numFmtId="0" fontId="43" fillId="0" borderId="0" xfId="0" applyFont="1" applyAlignment="1">
      <alignment horizontal="left" wrapText="1"/>
    </xf>
    <xf numFmtId="0" fontId="43" fillId="0" borderId="0" xfId="0" applyFont="1" applyAlignment="1">
      <alignment horizontal="left" vertical="top" wrapText="1"/>
    </xf>
    <xf numFmtId="0" fontId="0" fillId="0" borderId="0" xfId="0" applyAlignment="1">
      <alignment wrapText="1"/>
    </xf>
    <xf numFmtId="0" fontId="10"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horizontal="left" wrapText="1"/>
    </xf>
    <xf numFmtId="0" fontId="43" fillId="0" borderId="0" xfId="0" applyFont="1" applyAlignment="1">
      <alignment vertical="top" wrapText="1"/>
    </xf>
    <xf numFmtId="0" fontId="43" fillId="0" borderId="0" xfId="0" applyFont="1" applyAlignment="1">
      <alignment wrapText="1"/>
    </xf>
    <xf numFmtId="0" fontId="11" fillId="0" borderId="0" xfId="0" applyFont="1" applyAlignment="1">
      <alignment vertical="center" wrapText="1"/>
    </xf>
    <xf numFmtId="2" fontId="27" fillId="8" borderId="1" xfId="0" applyNumberFormat="1" applyFont="1" applyFill="1" applyBorder="1" applyAlignment="1" applyProtection="1">
      <alignment horizontal="left" vertical="center"/>
      <protection locked="0"/>
    </xf>
    <xf numFmtId="49" fontId="27" fillId="8" borderId="1" xfId="0" applyNumberFormat="1" applyFont="1" applyFill="1" applyBorder="1" applyAlignment="1" applyProtection="1">
      <alignment horizontal="left" vertical="center"/>
      <protection locked="0"/>
    </xf>
    <xf numFmtId="3" fontId="10" fillId="5" borderId="1" xfId="0" applyNumberFormat="1" applyFont="1" applyFill="1" applyBorder="1" applyAlignment="1" applyProtection="1">
      <alignment vertical="center"/>
      <protection locked="0"/>
    </xf>
    <xf numFmtId="0" fontId="27" fillId="8" borderId="1" xfId="0" applyNumberFormat="1" applyFont="1" applyFill="1" applyBorder="1" applyAlignment="1" applyProtection="1">
      <alignment horizontal="left" vertical="center"/>
      <protection locked="0"/>
    </xf>
    <xf numFmtId="3" fontId="0" fillId="5" borderId="1" xfId="0" applyNumberFormat="1" applyFill="1" applyBorder="1" applyProtection="1">
      <protection locked="0"/>
    </xf>
    <xf numFmtId="165" fontId="0" fillId="8" borderId="1" xfId="0" applyNumberFormat="1" applyFill="1" applyBorder="1" applyAlignment="1" applyProtection="1">
      <alignment horizontal="right" vertical="center"/>
      <protection locked="0"/>
    </xf>
    <xf numFmtId="0" fontId="0" fillId="8" borderId="1" xfId="0" applyFill="1" applyBorder="1" applyAlignment="1" applyProtection="1">
      <alignment horizontal="center" vertical="center"/>
      <protection locked="0"/>
    </xf>
    <xf numFmtId="0" fontId="0" fillId="8" borderId="1" xfId="0" quotePrefix="1" applyFill="1" applyBorder="1" applyAlignment="1" applyProtection="1">
      <alignment horizontal="center" vertical="center"/>
      <protection locked="0"/>
    </xf>
    <xf numFmtId="1" fontId="27" fillId="8" borderId="1" xfId="0" applyNumberFormat="1" applyFont="1" applyFill="1" applyBorder="1" applyAlignment="1" applyProtection="1">
      <alignment horizontal="left" vertical="center"/>
      <protection locked="0"/>
    </xf>
    <xf numFmtId="166" fontId="27" fillId="8" borderId="1" xfId="0" applyNumberFormat="1" applyFont="1" applyFill="1" applyBorder="1" applyAlignment="1" applyProtection="1">
      <alignment horizontal="left" vertical="center"/>
      <protection locked="0"/>
    </xf>
    <xf numFmtId="165" fontId="0" fillId="8" borderId="1" xfId="0" quotePrefix="1" applyNumberFormat="1" applyFill="1" applyBorder="1" applyAlignment="1" applyProtection="1">
      <alignment horizontal="right" vertical="center"/>
      <protection locked="0"/>
    </xf>
    <xf numFmtId="0" fontId="8" fillId="8" borderId="1" xfId="1" applyFill="1" applyBorder="1" applyAlignment="1" applyProtection="1">
      <alignment horizontal="left" vertical="center"/>
      <protection locked="0"/>
    </xf>
    <xf numFmtId="0" fontId="0" fillId="5" borderId="1" xfId="0"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0" fillId="0" borderId="0" xfId="0" applyProtection="1"/>
    <xf numFmtId="0" fontId="0" fillId="0" borderId="1" xfId="0" applyBorder="1" applyAlignment="1" applyProtection="1">
      <alignment horizontal="center" vertical="center"/>
    </xf>
    <xf numFmtId="0" fontId="27" fillId="6" borderId="1" xfId="0" applyFont="1" applyFill="1" applyBorder="1" applyAlignment="1" applyProtection="1">
      <alignment horizontal="left" vertical="center"/>
    </xf>
    <xf numFmtId="2" fontId="0" fillId="0" borderId="0"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165" fontId="27" fillId="9" borderId="0" xfId="0" applyNumberFormat="1" applyFont="1" applyFill="1" applyAlignment="1" applyProtection="1">
      <alignment horizontal="left" vertical="center"/>
    </xf>
    <xf numFmtId="2" fontId="10" fillId="0" borderId="0" xfId="0" applyNumberFormat="1" applyFont="1" applyBorder="1" applyAlignment="1" applyProtection="1">
      <alignment horizontal="left" vertical="center"/>
    </xf>
    <xf numFmtId="0" fontId="10" fillId="0" borderId="0" xfId="0" applyFont="1" applyProtection="1"/>
    <xf numFmtId="3" fontId="27" fillId="9" borderId="0" xfId="0" applyNumberFormat="1" applyFont="1" applyFill="1" applyAlignment="1" applyProtection="1">
      <alignment horizontal="left" vertical="center"/>
    </xf>
    <xf numFmtId="0" fontId="0" fillId="2" borderId="0" xfId="0" applyFill="1" applyProtection="1"/>
    <xf numFmtId="166" fontId="10" fillId="0" borderId="0" xfId="2" applyNumberFormat="1" applyFont="1" applyBorder="1" applyAlignment="1" applyProtection="1">
      <alignment horizontal="left" vertical="center"/>
    </xf>
    <xf numFmtId="0" fontId="0" fillId="0" borderId="1" xfId="0" applyBorder="1" applyProtection="1"/>
    <xf numFmtId="3" fontId="12" fillId="3" borderId="1" xfId="0" applyNumberFormat="1" applyFont="1" applyFill="1" applyBorder="1" applyProtection="1"/>
    <xf numFmtId="166" fontId="27" fillId="9" borderId="1" xfId="2" applyNumberFormat="1" applyFont="1" applyFill="1" applyBorder="1" applyAlignment="1" applyProtection="1">
      <alignment horizontal="left" vertical="center"/>
    </xf>
    <xf numFmtId="0" fontId="0" fillId="0" borderId="0" xfId="0" applyBorder="1" applyProtection="1"/>
    <xf numFmtId="2" fontId="27" fillId="9" borderId="1" xfId="0" applyNumberFormat="1" applyFont="1" applyFill="1" applyBorder="1" applyAlignment="1" applyProtection="1">
      <alignment horizontal="left" vertical="center"/>
    </xf>
    <xf numFmtId="0" fontId="10" fillId="0" borderId="0" xfId="0" applyFont="1" applyFill="1" applyBorder="1" applyProtection="1"/>
    <xf numFmtId="0" fontId="0" fillId="0" borderId="0" xfId="0" applyFill="1" applyBorder="1" applyProtection="1"/>
    <xf numFmtId="0" fontId="15" fillId="6" borderId="1" xfId="0" applyFont="1" applyFill="1" applyBorder="1" applyAlignment="1" applyProtection="1">
      <alignment horizontal="left" vertical="center"/>
    </xf>
    <xf numFmtId="3" fontId="10" fillId="7" borderId="1" xfId="0" applyNumberFormat="1" applyFont="1" applyFill="1" applyBorder="1" applyAlignment="1" applyProtection="1">
      <alignment vertical="center"/>
    </xf>
    <xf numFmtId="0" fontId="16"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xf>
    <xf numFmtId="0" fontId="13" fillId="0" borderId="1" xfId="0" applyFont="1" applyFill="1" applyBorder="1" applyAlignment="1" applyProtection="1">
      <alignment horizontal="center"/>
    </xf>
    <xf numFmtId="0" fontId="10" fillId="0" borderId="1" xfId="0" applyFont="1" applyFill="1" applyBorder="1" applyAlignment="1" applyProtection="1">
      <alignment horizontal="center"/>
    </xf>
    <xf numFmtId="167" fontId="27" fillId="0" borderId="1" xfId="2" applyNumberFormat="1" applyFont="1" applyFill="1" applyBorder="1" applyProtection="1"/>
    <xf numFmtId="0" fontId="17" fillId="0" borderId="1" xfId="0" applyFont="1" applyBorder="1" applyAlignment="1" applyProtection="1">
      <alignment horizontal="center" vertical="center" wrapText="1"/>
    </xf>
    <xf numFmtId="0" fontId="0" fillId="9" borderId="1" xfId="0" applyFill="1" applyBorder="1" applyAlignment="1" applyProtection="1">
      <alignment horizontal="center" vertical="center"/>
    </xf>
    <xf numFmtId="3" fontId="0" fillId="10" borderId="1" xfId="0" applyNumberFormat="1" applyFill="1" applyBorder="1" applyProtection="1"/>
    <xf numFmtId="2" fontId="10" fillId="0" borderId="0" xfId="0" applyNumberFormat="1" applyFont="1" applyAlignment="1" applyProtection="1">
      <alignment horizontal="left" vertical="center"/>
    </xf>
    <xf numFmtId="2" fontId="0" fillId="0" borderId="0" xfId="0" applyNumberFormat="1" applyAlignment="1" applyProtection="1">
      <alignment horizontal="left" vertical="center"/>
    </xf>
    <xf numFmtId="0" fontId="0" fillId="0" borderId="1" xfId="0" applyBorder="1" applyAlignment="1" applyProtection="1">
      <alignment horizontal="center"/>
    </xf>
    <xf numFmtId="0" fontId="27" fillId="11" borderId="1" xfId="0" applyFont="1" applyFill="1" applyBorder="1" applyAlignment="1" applyProtection="1">
      <alignment horizontal="left" vertical="center"/>
    </xf>
    <xf numFmtId="0" fontId="10" fillId="0" borderId="0" xfId="0" applyFont="1" applyBorder="1" applyAlignment="1" applyProtection="1"/>
    <xf numFmtId="0" fontId="16" fillId="0" borderId="1" xfId="0" applyFont="1" applyFill="1" applyBorder="1" applyAlignment="1" applyProtection="1">
      <alignment horizontal="center" vertical="center" wrapText="1"/>
    </xf>
    <xf numFmtId="0" fontId="18" fillId="0" borderId="3" xfId="0" applyFont="1" applyBorder="1" applyAlignment="1" applyProtection="1">
      <alignment horizontal="center" vertical="center"/>
    </xf>
    <xf numFmtId="0" fontId="18" fillId="0" borderId="1" xfId="0" applyFont="1" applyBorder="1" applyAlignment="1" applyProtection="1">
      <alignment horizontal="center" vertical="center"/>
    </xf>
    <xf numFmtId="167" fontId="10" fillId="0" borderId="0" xfId="2" applyNumberFormat="1" applyFont="1" applyProtection="1"/>
    <xf numFmtId="0" fontId="0" fillId="0" borderId="0" xfId="0" applyBorder="1" applyAlignment="1" applyProtection="1">
      <alignment horizontal="center" vertical="center"/>
    </xf>
    <xf numFmtId="0" fontId="27" fillId="9" borderId="1" xfId="0" applyNumberFormat="1" applyFont="1" applyFill="1" applyBorder="1" applyAlignment="1" applyProtection="1">
      <alignment horizontal="left" vertical="center"/>
    </xf>
    <xf numFmtId="0" fontId="0" fillId="0" borderId="0" xfId="0" applyAlignment="1" applyProtection="1">
      <alignment horizontal="center" vertical="center"/>
    </xf>
    <xf numFmtId="0" fontId="0" fillId="11" borderId="1" xfId="0" applyFont="1" applyFill="1" applyBorder="1" applyAlignment="1" applyProtection="1">
      <alignment horizontal="left" vertical="center"/>
    </xf>
    <xf numFmtId="0" fontId="27" fillId="0" borderId="0" xfId="0" applyFont="1" applyProtection="1"/>
    <xf numFmtId="2" fontId="27" fillId="0" borderId="0" xfId="0" applyNumberFormat="1" applyFont="1" applyAlignment="1" applyProtection="1">
      <alignment horizontal="left" vertical="center"/>
    </xf>
    <xf numFmtId="0" fontId="11" fillId="0" borderId="1" xfId="0"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21" fillId="0" borderId="0" xfId="0" applyNumberFormat="1" applyFont="1" applyFill="1" applyBorder="1" applyAlignment="1" applyProtection="1">
      <alignment horizontal="center" vertical="center"/>
    </xf>
    <xf numFmtId="0" fontId="23" fillId="0" borderId="0" xfId="0" applyFont="1" applyAlignment="1" applyProtection="1">
      <alignment horizontal="center" vertical="center"/>
    </xf>
    <xf numFmtId="0" fontId="0" fillId="0" borderId="0" xfId="0" applyAlignment="1" applyProtection="1">
      <alignment horizontal="center" vertical="center" wrapText="1"/>
    </xf>
    <xf numFmtId="0" fontId="27" fillId="8" borderId="0" xfId="0" applyFont="1" applyFill="1" applyAlignment="1" applyProtection="1">
      <alignment vertical="center"/>
      <protection locked="0"/>
    </xf>
    <xf numFmtId="0" fontId="27" fillId="8" borderId="0" xfId="0" applyFont="1" applyFill="1" applyAlignment="1" applyProtection="1">
      <alignment vertical="center" wrapText="1"/>
      <protection locked="0"/>
    </xf>
    <xf numFmtId="0" fontId="31" fillId="8" borderId="0" xfId="0" applyFont="1" applyFill="1" applyAlignment="1" applyProtection="1">
      <alignment wrapText="1"/>
      <protection locked="0"/>
    </xf>
    <xf numFmtId="0" fontId="0" fillId="0" borderId="16" xfId="0" applyBorder="1" applyProtection="1"/>
    <xf numFmtId="0" fontId="19" fillId="0" borderId="17" xfId="0" applyFont="1" applyBorder="1" applyAlignment="1" applyProtection="1">
      <alignment horizontal="left" vertical="center" wrapText="1"/>
    </xf>
    <xf numFmtId="0" fontId="0" fillId="0" borderId="19" xfId="0" applyBorder="1" applyProtection="1"/>
    <xf numFmtId="0" fontId="19" fillId="0" borderId="20" xfId="0" applyFont="1" applyBorder="1" applyAlignment="1" applyProtection="1">
      <alignment horizontal="left" vertical="center" wrapText="1"/>
    </xf>
    <xf numFmtId="0" fontId="0" fillId="13" borderId="22" xfId="0" applyFill="1" applyBorder="1" applyProtection="1"/>
    <xf numFmtId="0" fontId="19" fillId="13" borderId="23" xfId="0" applyFont="1" applyFill="1" applyBorder="1" applyAlignment="1" applyProtection="1">
      <alignment vertical="center" wrapText="1"/>
    </xf>
    <xf numFmtId="0" fontId="19" fillId="13" borderId="23" xfId="0" applyFont="1" applyFill="1" applyBorder="1" applyAlignment="1" applyProtection="1">
      <alignment horizontal="left" vertical="center" wrapText="1"/>
    </xf>
    <xf numFmtId="14" fontId="19" fillId="13" borderId="23" xfId="0" applyNumberFormat="1" applyFont="1" applyFill="1" applyBorder="1" applyAlignment="1" applyProtection="1">
      <alignment horizontal="center" vertical="center" wrapText="1"/>
    </xf>
    <xf numFmtId="49" fontId="26" fillId="0" borderId="2" xfId="0" applyNumberFormat="1" applyFont="1" applyBorder="1" applyAlignment="1" applyProtection="1">
      <alignment horizontal="center" vertical="center" wrapText="1"/>
    </xf>
    <xf numFmtId="9" fontId="38" fillId="0" borderId="7" xfId="0" applyNumberFormat="1" applyFont="1" applyBorder="1" applyAlignment="1" applyProtection="1">
      <alignment horizontal="center" vertical="center"/>
    </xf>
    <xf numFmtId="0" fontId="40" fillId="0" borderId="7" xfId="0" applyNumberFormat="1" applyFont="1" applyBorder="1" applyAlignment="1" applyProtection="1">
      <alignment horizontal="center" vertical="center"/>
    </xf>
    <xf numFmtId="0" fontId="18" fillId="0" borderId="17" xfId="0" applyFont="1" applyBorder="1" applyAlignment="1" applyProtection="1">
      <alignment horizontal="center" vertical="center"/>
    </xf>
    <xf numFmtId="0" fontId="0" fillId="0" borderId="0" xfId="0" applyAlignment="1">
      <alignment horizontal="left" vertical="top" wrapText="1"/>
    </xf>
    <xf numFmtId="2" fontId="27" fillId="8" borderId="1" xfId="0" applyNumberFormat="1" applyFont="1" applyFill="1" applyBorder="1" applyAlignment="1" applyProtection="1">
      <alignment horizontal="left" vertical="center" wrapText="1"/>
      <protection locked="0"/>
    </xf>
    <xf numFmtId="0" fontId="0" fillId="0" borderId="0" xfId="0" applyAlignment="1">
      <alignment horizontal="justify" vertical="top" wrapText="1"/>
    </xf>
    <xf numFmtId="3" fontId="0" fillId="0" borderId="1" xfId="0" applyNumberFormat="1" applyFill="1" applyBorder="1" applyProtection="1">
      <protection locked="0"/>
    </xf>
    <xf numFmtId="0" fontId="0" fillId="0" borderId="0" xfId="0" applyAlignment="1">
      <alignment horizontal="justify" vertical="top" wrapText="1"/>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justify" vertical="top"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29" fillId="8" borderId="0" xfId="0" applyFont="1" applyFill="1" applyAlignment="1" applyProtection="1">
      <alignment vertical="center" wrapText="1"/>
      <protection locked="0"/>
    </xf>
    <xf numFmtId="0" fontId="34" fillId="0" borderId="1" xfId="0" applyFont="1" applyBorder="1" applyAlignment="1">
      <alignment horizontal="center" vertical="center" wrapText="1"/>
    </xf>
    <xf numFmtId="3" fontId="45" fillId="0" borderId="1" xfId="0" applyNumberFormat="1" applyFont="1" applyBorder="1" applyAlignment="1">
      <alignment horizontal="center" vertical="center" wrapText="1"/>
    </xf>
    <xf numFmtId="0" fontId="19"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justify" vertical="top" wrapText="1"/>
    </xf>
    <xf numFmtId="0" fontId="27" fillId="6" borderId="1" xfId="0" applyFont="1" applyFill="1" applyBorder="1" applyAlignment="1" applyProtection="1">
      <alignment horizontal="left" vertical="center" wrapText="1"/>
    </xf>
    <xf numFmtId="1" fontId="27" fillId="9" borderId="1" xfId="0" applyNumberFormat="1" applyFont="1" applyFill="1" applyBorder="1" applyAlignment="1" applyProtection="1">
      <alignment horizontal="left" vertical="center"/>
    </xf>
    <xf numFmtId="0" fontId="10" fillId="0" borderId="0" xfId="0" applyFont="1" applyAlignment="1">
      <alignment horizontal="center" vertical="center" wrapText="1"/>
    </xf>
    <xf numFmtId="1" fontId="28" fillId="9" borderId="1" xfId="0" applyNumberFormat="1" applyFont="1" applyFill="1" applyBorder="1" applyAlignment="1" applyProtection="1">
      <alignment horizontal="left" vertical="center"/>
    </xf>
    <xf numFmtId="0" fontId="10" fillId="0" borderId="1" xfId="0" applyFont="1" applyBorder="1" applyAlignment="1" applyProtection="1">
      <alignment horizontal="center" vertical="center"/>
    </xf>
    <xf numFmtId="0" fontId="0" fillId="0" borderId="0" xfId="0" applyAlignment="1">
      <alignment horizontal="justify" vertical="top" wrapText="1"/>
    </xf>
    <xf numFmtId="0" fontId="10" fillId="0" borderId="0" xfId="0" applyFont="1" applyAlignment="1">
      <alignment horizontal="justify" vertical="top" wrapText="1"/>
    </xf>
    <xf numFmtId="0" fontId="0" fillId="0" borderId="0" xfId="0" applyAlignment="1">
      <alignment horizontal="left" vertical="top" wrapText="1"/>
    </xf>
    <xf numFmtId="0" fontId="16" fillId="0" borderId="1" xfId="0" applyFont="1" applyFill="1" applyBorder="1" applyAlignment="1">
      <alignment horizontal="center" vertical="center" wrapText="1"/>
    </xf>
    <xf numFmtId="0" fontId="0" fillId="0" borderId="0" xfId="0" applyBorder="1" applyAlignment="1" applyProtection="1">
      <alignment horizontal="center"/>
    </xf>
    <xf numFmtId="49" fontId="21" fillId="0" borderId="1" xfId="0" applyNumberFormat="1" applyFont="1" applyBorder="1" applyAlignment="1" applyProtection="1">
      <alignment horizontal="center" vertical="center" wrapText="1"/>
    </xf>
    <xf numFmtId="49" fontId="21" fillId="0" borderId="17" xfId="0" applyNumberFormat="1" applyFont="1" applyBorder="1" applyAlignment="1" applyProtection="1">
      <alignment horizontal="center" vertical="center" wrapText="1"/>
    </xf>
    <xf numFmtId="0" fontId="39"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2" xfId="0" applyBorder="1" applyAlignment="1">
      <alignment horizontal="center" vertical="center" wrapText="1"/>
    </xf>
    <xf numFmtId="0" fontId="10" fillId="0" borderId="1" xfId="0" applyFont="1" applyBorder="1" applyAlignment="1" applyProtection="1">
      <alignment horizontal="center" vertical="center" wrapText="1"/>
    </xf>
    <xf numFmtId="166" fontId="0" fillId="4" borderId="1" xfId="0" applyNumberFormat="1" applyFill="1" applyBorder="1" applyAlignment="1" applyProtection="1">
      <alignment horizontal="center" vertical="center"/>
      <protection locked="0"/>
    </xf>
    <xf numFmtId="166" fontId="0" fillId="0" borderId="1" xfId="0" applyNumberFormat="1" applyBorder="1" applyAlignment="1">
      <alignment horizontal="right" vertical="center" wrapText="1"/>
    </xf>
    <xf numFmtId="0" fontId="39" fillId="0" borderId="0" xfId="0" applyFont="1" applyBorder="1" applyAlignment="1">
      <alignment vertical="center" wrapText="1"/>
    </xf>
    <xf numFmtId="0" fontId="10" fillId="0" borderId="1" xfId="0" applyFont="1" applyBorder="1" applyAlignment="1">
      <alignment horizontal="right" vertical="center"/>
    </xf>
    <xf numFmtId="0" fontId="0" fillId="0" borderId="0" xfId="0" applyAlignment="1">
      <alignment horizontal="justify" vertical="top" wrapText="1"/>
    </xf>
    <xf numFmtId="2" fontId="10" fillId="11" borderId="1" xfId="0" applyNumberFormat="1" applyFont="1" applyFill="1" applyBorder="1" applyAlignment="1" applyProtection="1">
      <alignment horizontal="center" vertical="center"/>
    </xf>
    <xf numFmtId="168" fontId="0" fillId="8" borderId="1" xfId="0" applyNumberFormat="1" applyFill="1" applyBorder="1" applyAlignment="1" applyProtection="1">
      <alignment horizontal="center" vertical="center"/>
    </xf>
    <xf numFmtId="2" fontId="10" fillId="11" borderId="1" xfId="0" applyNumberFormat="1" applyFont="1" applyFill="1" applyBorder="1" applyAlignment="1" applyProtection="1">
      <alignment horizontal="center" vertical="center" wrapText="1"/>
    </xf>
    <xf numFmtId="0" fontId="0" fillId="0" borderId="0" xfId="0" applyAlignment="1" applyProtection="1">
      <alignment wrapText="1"/>
    </xf>
    <xf numFmtId="10" fontId="0" fillId="8" borderId="1" xfId="0" applyNumberFormat="1" applyFill="1" applyBorder="1" applyAlignment="1" applyProtection="1">
      <alignment horizontal="center" vertical="center"/>
    </xf>
    <xf numFmtId="10" fontId="0" fillId="0" borderId="0" xfId="0" applyNumberFormat="1" applyAlignment="1" applyProtection="1">
      <alignment horizontal="center"/>
    </xf>
    <xf numFmtId="10" fontId="0" fillId="8" borderId="1" xfId="0" applyNumberFormat="1" applyFill="1" applyBorder="1" applyAlignment="1" applyProtection="1">
      <alignment horizontal="center"/>
    </xf>
    <xf numFmtId="9" fontId="0" fillId="8" borderId="1" xfId="0" applyNumberFormat="1" applyFill="1" applyBorder="1" applyAlignment="1" applyProtection="1">
      <alignment horizontal="center"/>
    </xf>
    <xf numFmtId="3" fontId="27" fillId="0" borderId="1" xfId="2" applyNumberFormat="1" applyFont="1" applyFill="1" applyBorder="1" applyProtection="1"/>
    <xf numFmtId="0" fontId="9" fillId="0" borderId="0" xfId="0" applyFont="1" applyBorder="1" applyProtection="1"/>
    <xf numFmtId="0" fontId="0" fillId="0" borderId="0" xfId="0" applyFill="1" applyBorder="1" applyAlignment="1" applyProtection="1">
      <alignment horizontal="center"/>
    </xf>
    <xf numFmtId="0" fontId="13" fillId="3"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4" fillId="4" borderId="1"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2" fontId="29" fillId="8" borderId="1" xfId="0" applyNumberFormat="1" applyFont="1" applyFill="1" applyBorder="1" applyAlignment="1" applyProtection="1">
      <alignment horizontal="left" vertical="center"/>
      <protection locked="0"/>
    </xf>
    <xf numFmtId="3" fontId="0" fillId="3" borderId="7" xfId="0" applyNumberFormat="1" applyFill="1" applyBorder="1" applyAlignment="1" applyProtection="1">
      <alignment vertical="center"/>
      <protection hidden="1"/>
    </xf>
    <xf numFmtId="3" fontId="9" fillId="3" borderId="1" xfId="0" applyNumberFormat="1" applyFont="1" applyFill="1" applyBorder="1" applyProtection="1">
      <protection hidden="1"/>
    </xf>
    <xf numFmtId="3" fontId="0" fillId="3" borderId="1" xfId="0" applyNumberFormat="1" applyFill="1" applyBorder="1" applyProtection="1">
      <protection hidden="1"/>
    </xf>
    <xf numFmtId="3" fontId="9" fillId="4" borderId="1" xfId="0" applyNumberFormat="1" applyFont="1" applyFill="1" applyBorder="1" applyAlignment="1" applyProtection="1">
      <alignment vertical="center"/>
      <protection hidden="1"/>
    </xf>
    <xf numFmtId="3" fontId="0" fillId="4" borderId="1" xfId="0" applyNumberFormat="1" applyFill="1" applyBorder="1" applyAlignment="1" applyProtection="1">
      <alignment vertical="center"/>
      <protection hidden="1"/>
    </xf>
    <xf numFmtId="0" fontId="17" fillId="0" borderId="0" xfId="0" quotePrefix="1"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center"/>
      <protection locked="0"/>
    </xf>
    <xf numFmtId="165" fontId="0" fillId="0" borderId="0" xfId="0" quotePrefix="1" applyNumberFormat="1" applyFill="1" applyBorder="1" applyAlignment="1" applyProtection="1">
      <alignment horizontal="right" vertical="center"/>
      <protection locked="0"/>
    </xf>
    <xf numFmtId="0" fontId="0" fillId="0" borderId="0" xfId="0" applyAlignment="1">
      <alignment horizontal="left" vertical="top" wrapText="1"/>
    </xf>
    <xf numFmtId="49" fontId="27" fillId="8" borderId="0" xfId="0" applyNumberFormat="1" applyFont="1" applyFill="1" applyAlignment="1" applyProtection="1">
      <alignment vertical="center"/>
      <protection locked="0"/>
    </xf>
    <xf numFmtId="0" fontId="0" fillId="14" borderId="0" xfId="0" applyFill="1"/>
    <xf numFmtId="2" fontId="22" fillId="0" borderId="19" xfId="0" applyNumberFormat="1" applyFont="1" applyBorder="1" applyAlignment="1" applyProtection="1">
      <alignment horizontal="center" vertical="center" wrapText="1"/>
    </xf>
    <xf numFmtId="2" fontId="22" fillId="0" borderId="16" xfId="0" applyNumberFormat="1" applyFont="1" applyBorder="1" applyAlignment="1" applyProtection="1">
      <alignment horizontal="center" vertical="center" wrapText="1"/>
    </xf>
    <xf numFmtId="2" fontId="19" fillId="9" borderId="21" xfId="0" applyNumberFormat="1" applyFont="1" applyFill="1" applyBorder="1" applyAlignment="1" applyProtection="1">
      <alignment horizontal="center" vertical="center" wrapText="1"/>
    </xf>
    <xf numFmtId="0" fontId="19" fillId="9" borderId="18" xfId="0" applyNumberFormat="1" applyFont="1" applyFill="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14" fontId="19" fillId="12" borderId="21" xfId="0" applyNumberFormat="1" applyFont="1" applyFill="1" applyBorder="1" applyAlignment="1" applyProtection="1">
      <alignment horizontal="center" vertical="center" wrapText="1"/>
      <protection locked="0"/>
    </xf>
    <xf numFmtId="14" fontId="19" fillId="12" borderId="18" xfId="0" applyNumberFormat="1" applyFont="1" applyFill="1" applyBorder="1" applyAlignment="1" applyProtection="1">
      <alignment horizontal="center" vertical="center" wrapText="1"/>
      <protection locked="0"/>
    </xf>
    <xf numFmtId="0" fontId="19" fillId="0" borderId="20"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10" fillId="0" borderId="1" xfId="0" applyFont="1" applyBorder="1" applyAlignment="1" applyProtection="1">
      <alignment horizontal="center" vertical="center"/>
    </xf>
    <xf numFmtId="0" fontId="10" fillId="5" borderId="1" xfId="0" applyFont="1" applyFill="1" applyBorder="1" applyAlignment="1" applyProtection="1">
      <alignment horizontal="left" vertical="center"/>
    </xf>
    <xf numFmtId="3" fontId="0" fillId="0" borderId="1" xfId="0" applyNumberFormat="1" applyFill="1" applyBorder="1" applyAlignment="1" applyProtection="1">
      <alignment horizontal="left"/>
    </xf>
    <xf numFmtId="49" fontId="19" fillId="0" borderId="20" xfId="0" applyNumberFormat="1" applyFont="1" applyBorder="1" applyAlignment="1" applyProtection="1">
      <alignment horizontal="left" vertical="center" wrapText="1"/>
    </xf>
    <xf numFmtId="49" fontId="19" fillId="0" borderId="17" xfId="0" applyNumberFormat="1" applyFont="1" applyBorder="1" applyAlignment="1" applyProtection="1">
      <alignment horizontal="left" vertical="center" wrapText="1"/>
    </xf>
    <xf numFmtId="2" fontId="22" fillId="0" borderId="0" xfId="0" applyNumberFormat="1"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13" fillId="0" borderId="1" xfId="0" applyFont="1" applyBorder="1" applyAlignment="1" applyProtection="1">
      <alignment horizontal="center" vertical="center"/>
    </xf>
    <xf numFmtId="2" fontId="22" fillId="13" borderId="22" xfId="0" applyNumberFormat="1" applyFont="1" applyFill="1" applyBorder="1" applyAlignment="1" applyProtection="1">
      <alignment horizontal="center" vertical="center" wrapText="1"/>
    </xf>
    <xf numFmtId="2" fontId="10" fillId="8" borderId="1" xfId="0" applyNumberFormat="1" applyFont="1" applyFill="1" applyBorder="1" applyAlignment="1" applyProtection="1">
      <alignment horizontal="justify" vertical="center"/>
      <protection locked="0"/>
    </xf>
    <xf numFmtId="0" fontId="0" fillId="0" borderId="0" xfId="0" applyAlignment="1" applyProtection="1">
      <alignment horizontal="center"/>
    </xf>
    <xf numFmtId="2" fontId="0" fillId="0" borderId="0"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0" fontId="32" fillId="0" borderId="1" xfId="0" applyFont="1" applyBorder="1" applyAlignment="1" applyProtection="1">
      <alignment horizontal="center" vertical="center" wrapText="1"/>
    </xf>
    <xf numFmtId="0" fontId="0" fillId="7" borderId="1" xfId="0" applyFill="1" applyBorder="1" applyAlignment="1" applyProtection="1">
      <alignment horizontal="left" vertical="center"/>
    </xf>
    <xf numFmtId="0" fontId="10" fillId="0" borderId="1" xfId="0" applyFont="1" applyBorder="1" applyAlignment="1" applyProtection="1">
      <alignment horizontal="center"/>
    </xf>
    <xf numFmtId="0" fontId="0" fillId="9" borderId="1" xfId="0" applyFill="1" applyBorder="1" applyAlignment="1" applyProtection="1">
      <alignment horizontal="center" vertical="center"/>
    </xf>
    <xf numFmtId="0" fontId="0" fillId="10" borderId="1" xfId="0" applyFill="1" applyBorder="1" applyAlignment="1" applyProtection="1">
      <alignment horizontal="center"/>
    </xf>
    <xf numFmtId="0" fontId="17" fillId="8" borderId="2" xfId="0" applyFont="1" applyFill="1" applyBorder="1" applyAlignment="1" applyProtection="1">
      <alignment horizontal="left" vertical="center" wrapText="1"/>
      <protection locked="0"/>
    </xf>
    <xf numFmtId="0" fontId="17" fillId="8" borderId="9" xfId="0" applyFont="1" applyFill="1" applyBorder="1" applyAlignment="1" applyProtection="1">
      <alignment horizontal="left" vertical="center" wrapText="1"/>
      <protection locked="0"/>
    </xf>
    <xf numFmtId="0" fontId="17" fillId="8" borderId="3" xfId="0" applyFont="1" applyFill="1" applyBorder="1" applyAlignment="1" applyProtection="1">
      <alignment horizontal="left" vertical="center" wrapText="1"/>
      <protection locked="0"/>
    </xf>
    <xf numFmtId="3" fontId="0" fillId="8" borderId="2" xfId="0" applyNumberFormat="1" applyFill="1" applyBorder="1" applyAlignment="1" applyProtection="1">
      <alignment horizontal="center"/>
      <protection locked="0"/>
    </xf>
    <xf numFmtId="0" fontId="0" fillId="8" borderId="3" xfId="0" applyFill="1" applyBorder="1" applyAlignment="1" applyProtection="1">
      <alignment horizontal="center"/>
      <protection locked="0"/>
    </xf>
    <xf numFmtId="0" fontId="17" fillId="8" borderId="2" xfId="0" quotePrefix="1" applyFont="1" applyFill="1" applyBorder="1" applyAlignment="1" applyProtection="1">
      <alignment horizontal="left" vertical="center" wrapText="1"/>
      <protection locked="0"/>
    </xf>
    <xf numFmtId="0" fontId="0" fillId="8" borderId="2" xfId="0" applyFill="1" applyBorder="1" applyAlignment="1" applyProtection="1">
      <alignment horizontal="center"/>
      <protection locked="0"/>
    </xf>
    <xf numFmtId="0" fontId="0" fillId="5" borderId="1" xfId="0" applyFill="1" applyBorder="1" applyAlignment="1" applyProtection="1">
      <alignment horizontal="left"/>
    </xf>
    <xf numFmtId="0" fontId="0" fillId="8" borderId="1" xfId="0" applyFill="1" applyBorder="1" applyAlignment="1" applyProtection="1">
      <alignment horizontal="center"/>
      <protection locked="0"/>
    </xf>
    <xf numFmtId="49" fontId="15" fillId="0" borderId="2" xfId="0" applyNumberFormat="1" applyFont="1" applyBorder="1" applyAlignment="1" applyProtection="1">
      <alignment horizontal="left" vertical="center" wrapText="1"/>
    </xf>
    <xf numFmtId="49" fontId="15" fillId="0" borderId="9" xfId="0" applyNumberFormat="1" applyFont="1" applyBorder="1" applyAlignment="1" applyProtection="1">
      <alignment horizontal="left" vertical="center" wrapText="1"/>
    </xf>
    <xf numFmtId="49" fontId="15" fillId="0" borderId="3" xfId="0" applyNumberFormat="1" applyFont="1" applyBorder="1" applyAlignment="1" applyProtection="1">
      <alignment horizontal="left" vertical="center" wrapText="1"/>
    </xf>
    <xf numFmtId="0" fontId="10" fillId="0" borderId="2"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3" xfId="0" applyFont="1" applyBorder="1" applyAlignment="1" applyProtection="1">
      <alignment horizontal="center" vertical="center"/>
    </xf>
    <xf numFmtId="0" fontId="33" fillId="0" borderId="2"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33" fillId="0" borderId="3" xfId="0" applyFont="1" applyBorder="1" applyAlignment="1" applyProtection="1">
      <alignment horizontal="center" vertical="center" wrapText="1"/>
    </xf>
    <xf numFmtId="49" fontId="34" fillId="0" borderId="10" xfId="0" applyNumberFormat="1" applyFont="1" applyBorder="1" applyAlignment="1" applyProtection="1">
      <alignment horizontal="center" vertical="center" wrapText="1"/>
    </xf>
    <xf numFmtId="49" fontId="34" fillId="0" borderId="5" xfId="0" applyNumberFormat="1" applyFont="1" applyBorder="1" applyAlignment="1" applyProtection="1">
      <alignment horizontal="center" vertical="center" wrapText="1"/>
    </xf>
    <xf numFmtId="49" fontId="34" fillId="0" borderId="11" xfId="0" applyNumberFormat="1" applyFont="1" applyBorder="1" applyAlignment="1" applyProtection="1">
      <alignment horizontal="center" vertical="center" wrapText="1"/>
    </xf>
    <xf numFmtId="49" fontId="34" fillId="0" borderId="12" xfId="0" applyNumberFormat="1" applyFont="1" applyBorder="1" applyAlignment="1" applyProtection="1">
      <alignment horizontal="center" vertical="center" wrapText="1"/>
    </xf>
    <xf numFmtId="49" fontId="34" fillId="0" borderId="13" xfId="0" applyNumberFormat="1" applyFont="1" applyBorder="1" applyAlignment="1" applyProtection="1">
      <alignment horizontal="center" vertical="center" wrapText="1"/>
    </xf>
    <xf numFmtId="49" fontId="34" fillId="0" borderId="14" xfId="0" applyNumberFormat="1" applyFont="1" applyBorder="1" applyAlignment="1" applyProtection="1">
      <alignment horizontal="center" vertical="center" wrapText="1"/>
    </xf>
    <xf numFmtId="0" fontId="0" fillId="0" borderId="2" xfId="0" applyBorder="1" applyAlignment="1" applyProtection="1">
      <alignment horizontal="center"/>
    </xf>
    <xf numFmtId="0" fontId="0" fillId="0" borderId="9" xfId="0" applyBorder="1" applyAlignment="1" applyProtection="1">
      <alignment horizontal="center"/>
    </xf>
    <xf numFmtId="0" fontId="0" fillId="0" borderId="3" xfId="0" applyBorder="1" applyAlignment="1" applyProtection="1">
      <alignment horizontal="center"/>
    </xf>
    <xf numFmtId="49" fontId="34" fillId="0" borderId="2" xfId="0" applyNumberFormat="1" applyFont="1" applyBorder="1" applyAlignment="1" applyProtection="1">
      <alignment horizontal="center" vertical="justify" wrapText="1"/>
    </xf>
    <xf numFmtId="49" fontId="34" fillId="0" borderId="9" xfId="0" applyNumberFormat="1" applyFont="1" applyBorder="1" applyAlignment="1" applyProtection="1">
      <alignment horizontal="center" vertical="justify" wrapText="1"/>
    </xf>
    <xf numFmtId="49" fontId="34" fillId="0" borderId="3" xfId="0" applyNumberFormat="1" applyFont="1" applyBorder="1" applyAlignment="1" applyProtection="1">
      <alignment horizontal="center" vertical="justify" wrapText="1"/>
    </xf>
    <xf numFmtId="15" fontId="19" fillId="9" borderId="4" xfId="0" applyNumberFormat="1" applyFont="1" applyFill="1" applyBorder="1" applyAlignment="1" applyProtection="1">
      <alignment horizontal="center" vertical="center" wrapText="1"/>
    </xf>
    <xf numFmtId="15" fontId="19" fillId="9" borderId="8" xfId="0" applyNumberFormat="1" applyFont="1" applyFill="1" applyBorder="1" applyAlignment="1" applyProtection="1">
      <alignment horizontal="center" vertical="center" wrapText="1"/>
    </xf>
    <xf numFmtId="15" fontId="19" fillId="9" borderId="1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49" fontId="34" fillId="0" borderId="1" xfId="0" applyNumberFormat="1" applyFont="1" applyBorder="1" applyAlignment="1">
      <alignment horizontal="justify" vertical="center" wrapText="1"/>
    </xf>
    <xf numFmtId="0" fontId="19" fillId="0" borderId="8" xfId="0" applyFont="1" applyBorder="1" applyAlignment="1" applyProtection="1">
      <alignment horizontal="left" vertical="center" wrapText="1"/>
    </xf>
    <xf numFmtId="0" fontId="35" fillId="8" borderId="2" xfId="0" applyFont="1" applyFill="1" applyBorder="1" applyAlignment="1" applyProtection="1">
      <alignment horizontal="left" vertical="center"/>
      <protection locked="0"/>
    </xf>
    <xf numFmtId="0" fontId="35" fillId="8" borderId="9" xfId="0" applyFont="1" applyFill="1" applyBorder="1" applyAlignment="1" applyProtection="1">
      <alignment horizontal="left" vertical="center"/>
      <protection locked="0"/>
    </xf>
    <xf numFmtId="0" fontId="35" fillId="8" borderId="3" xfId="0" applyFont="1" applyFill="1" applyBorder="1" applyAlignment="1" applyProtection="1">
      <alignment horizontal="left" vertical="center"/>
      <protection locked="0"/>
    </xf>
    <xf numFmtId="14" fontId="19" fillId="9" borderId="21" xfId="0" applyNumberFormat="1" applyFont="1" applyFill="1" applyBorder="1" applyAlignment="1" applyProtection="1">
      <alignment horizontal="center" vertical="center" wrapText="1"/>
    </xf>
    <xf numFmtId="14" fontId="19" fillId="9" borderId="8" xfId="0" applyNumberFormat="1" applyFont="1" applyFill="1" applyBorder="1" applyAlignment="1" applyProtection="1">
      <alignment horizontal="center" vertical="center" wrapText="1"/>
    </xf>
    <xf numFmtId="14" fontId="19" fillId="9" borderId="18" xfId="0" applyNumberFormat="1" applyFont="1" applyFill="1" applyBorder="1" applyAlignment="1" applyProtection="1">
      <alignment horizontal="center" vertical="center" wrapText="1"/>
    </xf>
    <xf numFmtId="0" fontId="10" fillId="0" borderId="13" xfId="0" applyFont="1" applyBorder="1" applyAlignment="1" applyProtection="1">
      <alignment horizontal="center"/>
    </xf>
    <xf numFmtId="0" fontId="22" fillId="0" borderId="5"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49" fontId="15" fillId="0" borderId="24" xfId="0" applyNumberFormat="1" applyFont="1" applyBorder="1" applyAlignment="1" applyProtection="1">
      <alignment horizontal="left" vertical="center" wrapText="1"/>
    </xf>
    <xf numFmtId="49" fontId="15" fillId="0" borderId="25" xfId="0" applyNumberFormat="1" applyFont="1" applyBorder="1" applyAlignment="1" applyProtection="1">
      <alignment horizontal="left" vertical="center" wrapText="1"/>
    </xf>
    <xf numFmtId="49" fontId="15" fillId="0" borderId="26" xfId="0" applyNumberFormat="1" applyFont="1" applyBorder="1" applyAlignment="1" applyProtection="1">
      <alignment horizontal="left" vertical="center" wrapText="1"/>
    </xf>
    <xf numFmtId="0" fontId="36" fillId="0" borderId="7" xfId="0" applyFont="1" applyBorder="1" applyAlignment="1" applyProtection="1">
      <alignment horizontal="center" vertical="center"/>
    </xf>
    <xf numFmtId="49" fontId="38" fillId="0" borderId="2" xfId="0" applyNumberFormat="1" applyFont="1" applyBorder="1" applyAlignment="1" applyProtection="1">
      <alignment horizontal="center" vertical="center" wrapText="1"/>
    </xf>
    <xf numFmtId="49" fontId="38" fillId="0" borderId="9" xfId="0" applyNumberFormat="1" applyFont="1" applyBorder="1" applyAlignment="1" applyProtection="1">
      <alignment horizontal="center" vertical="center" wrapText="1"/>
    </xf>
    <xf numFmtId="49" fontId="38" fillId="0" borderId="3" xfId="0" applyNumberFormat="1" applyFont="1" applyBorder="1" applyAlignment="1" applyProtection="1">
      <alignment horizontal="center" vertical="center" wrapText="1"/>
    </xf>
    <xf numFmtId="0" fontId="0" fillId="0" borderId="1" xfId="0" applyBorder="1" applyAlignment="1">
      <alignment horizontal="left" vertical="center" wrapText="1"/>
    </xf>
    <xf numFmtId="0" fontId="39"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0" xfId="0" applyAlignment="1">
      <alignment horizontal="justify" vertical="top" wrapText="1"/>
    </xf>
    <xf numFmtId="3" fontId="0" fillId="0" borderId="2" xfId="0" applyNumberFormat="1" applyBorder="1" applyAlignment="1">
      <alignment horizontal="center" vertical="center" wrapText="1"/>
    </xf>
    <xf numFmtId="3" fontId="0" fillId="0" borderId="3" xfId="0" applyNumberFormat="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10" fillId="14" borderId="0" xfId="0" applyFont="1" applyFill="1" applyAlignment="1">
      <alignment horizontal="justify" vertical="top" wrapText="1"/>
    </xf>
    <xf numFmtId="0" fontId="0" fillId="14" borderId="0" xfId="0" applyFill="1" applyAlignment="1">
      <alignment horizontal="justify" vertical="top" wrapText="1"/>
    </xf>
    <xf numFmtId="0" fontId="0" fillId="0" borderId="0" xfId="0" applyFont="1" applyAlignment="1">
      <alignment horizontal="justify" vertical="top" wrapText="1"/>
    </xf>
    <xf numFmtId="166" fontId="0" fillId="0" borderId="2" xfId="0" applyNumberFormat="1" applyBorder="1" applyAlignment="1">
      <alignment horizontal="center" vertical="center" wrapText="1"/>
    </xf>
    <xf numFmtId="166" fontId="0" fillId="0" borderId="3" xfId="0" applyNumberFormat="1" applyBorder="1" applyAlignment="1">
      <alignment horizontal="center" vertical="center" wrapText="1"/>
    </xf>
    <xf numFmtId="0" fontId="30" fillId="0" borderId="5" xfId="0" applyFont="1" applyBorder="1" applyAlignment="1">
      <alignment horizontal="center" vertical="center" wrapText="1"/>
    </xf>
    <xf numFmtId="0" fontId="10" fillId="0" borderId="0" xfId="0" applyFont="1" applyAlignment="1">
      <alignment horizontal="justify" vertical="top" wrapText="1"/>
    </xf>
    <xf numFmtId="0" fontId="0" fillId="0" borderId="0" xfId="0" applyAlignment="1">
      <alignment horizontal="center"/>
    </xf>
    <xf numFmtId="0" fontId="0" fillId="0" borderId="1" xfId="0" applyBorder="1" applyAlignment="1">
      <alignment horizontal="center" vertical="center" wrapText="1"/>
    </xf>
    <xf numFmtId="0" fontId="0" fillId="0" borderId="0" xfId="0" applyFill="1" applyAlignment="1">
      <alignment horizontal="justify" vertical="top" wrapText="1"/>
    </xf>
    <xf numFmtId="0" fontId="0" fillId="0" borderId="0" xfId="0" applyAlignment="1">
      <alignment horizontal="justify" vertical="justify" wrapText="1"/>
    </xf>
    <xf numFmtId="0" fontId="0" fillId="0" borderId="0" xfId="0" applyAlignment="1">
      <alignment horizontal="justify" vertical="center" wrapText="1"/>
    </xf>
    <xf numFmtId="0" fontId="0" fillId="0" borderId="0" xfId="0" applyBorder="1" applyAlignment="1">
      <alignment horizontal="justify" vertical="top" wrapText="1"/>
    </xf>
    <xf numFmtId="0" fontId="1" fillId="0" borderId="0" xfId="0" applyFont="1" applyAlignment="1">
      <alignment horizontal="justify" vertical="top" wrapText="1"/>
    </xf>
    <xf numFmtId="0" fontId="10"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xf>
    <xf numFmtId="0" fontId="0" fillId="0" borderId="0" xfId="0" applyFont="1" applyFill="1" applyAlignment="1">
      <alignment horizontal="justify" vertical="top" wrapText="1"/>
    </xf>
    <xf numFmtId="0" fontId="0" fillId="14" borderId="0" xfId="0" applyFill="1" applyAlignment="1">
      <alignment horizontal="justify" vertical="center" wrapText="1"/>
    </xf>
    <xf numFmtId="0" fontId="0" fillId="14" borderId="0" xfId="0" applyFill="1" applyAlignment="1">
      <alignment horizontal="justify" vertical="center"/>
    </xf>
    <xf numFmtId="0" fontId="11" fillId="0" borderId="1" xfId="0" applyFont="1" applyFill="1" applyBorder="1" applyAlignment="1">
      <alignment horizontal="center" vertical="center"/>
    </xf>
    <xf numFmtId="0" fontId="0" fillId="0" borderId="0" xfId="0" applyFill="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17" fontId="19" fillId="0" borderId="1" xfId="0" applyNumberFormat="1"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left"/>
    </xf>
    <xf numFmtId="0" fontId="10" fillId="0" borderId="5" xfId="0" applyFont="1" applyBorder="1" applyAlignment="1">
      <alignment horizontal="center" vertical="center"/>
    </xf>
    <xf numFmtId="0" fontId="27" fillId="0" borderId="0" xfId="0" applyFont="1" applyAlignment="1">
      <alignment horizontal="center" vertical="center"/>
    </xf>
    <xf numFmtId="0" fontId="0" fillId="0" borderId="2"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27" fillId="0" borderId="0" xfId="0" applyFont="1" applyAlignment="1">
      <alignment horizontal="justify" vertical="justify"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pplyAlignment="1">
      <alignment horizontal="center" vertical="center"/>
    </xf>
    <xf numFmtId="0" fontId="15"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36" fillId="0" borderId="5" xfId="0" applyFont="1" applyBorder="1" applyAlignment="1">
      <alignment horizontal="center" vertical="center"/>
    </xf>
    <xf numFmtId="0" fontId="20" fillId="0" borderId="0" xfId="0" applyFont="1" applyAlignment="1">
      <alignment horizontal="center" vertical="center"/>
    </xf>
    <xf numFmtId="2" fontId="13" fillId="0" borderId="0" xfId="0" applyNumberFormat="1" applyFont="1" applyAlignment="1">
      <alignment horizontal="center" vertical="center" wrapText="1"/>
    </xf>
    <xf numFmtId="2" fontId="10" fillId="0" borderId="2" xfId="0" applyNumberFormat="1" applyFont="1" applyBorder="1" applyAlignment="1">
      <alignment horizontal="center" vertical="center"/>
    </xf>
    <xf numFmtId="2" fontId="10" fillId="0" borderId="9" xfId="0" applyNumberFormat="1" applyFont="1" applyBorder="1" applyAlignment="1">
      <alignment horizontal="center" vertical="center"/>
    </xf>
    <xf numFmtId="2" fontId="10" fillId="0" borderId="3" xfId="0" applyNumberFormat="1" applyFont="1" applyBorder="1" applyAlignment="1">
      <alignment horizontal="center" vertical="center"/>
    </xf>
    <xf numFmtId="0" fontId="0" fillId="0" borderId="2" xfId="0" applyNumberFormat="1" applyBorder="1" applyAlignment="1">
      <alignment horizontal="center" vertical="center"/>
    </xf>
    <xf numFmtId="0" fontId="0" fillId="0" borderId="9" xfId="0" applyNumberFormat="1" applyBorder="1" applyAlignment="1">
      <alignment horizontal="center" vertical="center"/>
    </xf>
    <xf numFmtId="0" fontId="0" fillId="0" borderId="3" xfId="0" applyNumberFormat="1" applyBorder="1" applyAlignment="1">
      <alignment horizontal="center" vertical="center"/>
    </xf>
    <xf numFmtId="0" fontId="0" fillId="14" borderId="0" xfId="0" applyFill="1" applyAlignment="1">
      <alignment horizontal="center" vertical="center" wrapText="1"/>
    </xf>
    <xf numFmtId="0" fontId="34" fillId="0" borderId="1" xfId="0" applyFont="1" applyBorder="1" applyAlignment="1">
      <alignment vertical="center" wrapText="1"/>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49" fontId="15" fillId="0" borderId="10"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0" fontId="21" fillId="0" borderId="15" xfId="0" quotePrefix="1" applyFont="1" applyBorder="1" applyAlignment="1">
      <alignment horizontal="center" vertical="center" wrapText="1"/>
    </xf>
    <xf numFmtId="0" fontId="21" fillId="0" borderId="6" xfId="0" applyFont="1" applyBorder="1" applyAlignment="1">
      <alignment horizontal="center" vertical="center" wrapText="1"/>
    </xf>
    <xf numFmtId="0" fontId="33" fillId="0" borderId="1" xfId="0" applyFont="1" applyBorder="1" applyAlignment="1">
      <alignment horizontal="center" vertical="center" wrapText="1"/>
    </xf>
    <xf numFmtId="49" fontId="34" fillId="0" borderId="1" xfId="0" applyNumberFormat="1" applyFont="1" applyBorder="1" applyAlignment="1">
      <alignment horizontal="left" vertical="justify" wrapText="1"/>
    </xf>
    <xf numFmtId="0" fontId="10" fillId="0" borderId="1" xfId="0" applyFont="1" applyBorder="1" applyAlignment="1">
      <alignment horizontal="center" vertical="center"/>
    </xf>
    <xf numFmtId="49" fontId="16" fillId="0" borderId="1" xfId="0" applyNumberFormat="1" applyFont="1" applyBorder="1" applyAlignment="1">
      <alignment horizontal="center" vertical="center" wrapText="1"/>
    </xf>
    <xf numFmtId="0" fontId="29" fillId="0" borderId="5" xfId="0" applyFont="1" applyBorder="1" applyAlignment="1">
      <alignment horizontal="center" vertical="center"/>
    </xf>
    <xf numFmtId="2" fontId="10" fillId="0" borderId="1" xfId="0" applyNumberFormat="1" applyFont="1" applyBorder="1" applyAlignment="1">
      <alignment horizontal="center" vertical="center"/>
    </xf>
    <xf numFmtId="0" fontId="45"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10" fillId="0" borderId="1" xfId="0" applyFont="1" applyBorder="1" applyAlignment="1">
      <alignment horizontal="center"/>
    </xf>
    <xf numFmtId="2" fontId="32" fillId="0" borderId="1"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32" fillId="0" borderId="13" xfId="0" applyFont="1" applyBorder="1" applyAlignment="1">
      <alignment horizontal="center" vertical="center" wrapText="1"/>
    </xf>
    <xf numFmtId="49" fontId="34" fillId="0" borderId="2" xfId="0" applyNumberFormat="1" applyFont="1" applyBorder="1" applyAlignment="1">
      <alignment horizontal="justify" vertical="center" wrapText="1"/>
    </xf>
    <xf numFmtId="49" fontId="34" fillId="0" borderId="9" xfId="0" applyNumberFormat="1" applyFont="1" applyBorder="1" applyAlignment="1">
      <alignment horizontal="justify" vertical="center" wrapText="1"/>
    </xf>
    <xf numFmtId="49" fontId="34" fillId="0" borderId="3" xfId="0" applyNumberFormat="1" applyFont="1" applyBorder="1" applyAlignment="1">
      <alignment horizontal="justify" vertical="center" wrapText="1"/>
    </xf>
    <xf numFmtId="0" fontId="0" fillId="0" borderId="1" xfId="0" applyBorder="1" applyAlignment="1">
      <alignment horizontal="justify" vertical="center" wrapText="1"/>
    </xf>
    <xf numFmtId="0" fontId="16" fillId="0" borderId="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3" xfId="0" applyFont="1" applyFill="1" applyBorder="1" applyAlignment="1">
      <alignment horizontal="center" vertical="center" wrapText="1"/>
    </xf>
    <xf numFmtId="49" fontId="38" fillId="0" borderId="1" xfId="0" applyNumberFormat="1" applyFont="1" applyBorder="1" applyAlignment="1">
      <alignment horizontal="center" vertical="center" wrapText="1"/>
    </xf>
    <xf numFmtId="49" fontId="15" fillId="0" borderId="2" xfId="0" applyNumberFormat="1" applyFont="1" applyBorder="1" applyAlignment="1">
      <alignment horizontal="justify" vertical="justify" wrapText="1"/>
    </xf>
    <xf numFmtId="49" fontId="15" fillId="0" borderId="9" xfId="0" applyNumberFormat="1" applyFont="1" applyBorder="1" applyAlignment="1">
      <alignment horizontal="justify" vertical="justify" wrapText="1"/>
    </xf>
    <xf numFmtId="49" fontId="15" fillId="0" borderId="3" xfId="0" applyNumberFormat="1" applyFont="1" applyBorder="1" applyAlignment="1">
      <alignment horizontal="justify" vertical="justify" wrapText="1"/>
    </xf>
    <xf numFmtId="0" fontId="10" fillId="0" borderId="0" xfId="0" applyFont="1" applyAlignment="1">
      <alignment horizontal="center" vertical="top"/>
    </xf>
    <xf numFmtId="0" fontId="0" fillId="0" borderId="1" xfId="0" applyBorder="1" applyAlignment="1">
      <alignment vertical="center" wrapText="1"/>
    </xf>
    <xf numFmtId="0" fontId="0" fillId="0" borderId="1" xfId="0" applyBorder="1" applyAlignment="1">
      <alignment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19" fillId="0" borderId="0" xfId="0" applyFont="1" applyAlignment="1">
      <alignment horizontal="left" vertical="top" wrapText="1"/>
    </xf>
    <xf numFmtId="0" fontId="6"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Fill="1" applyAlignment="1">
      <alignment horizontal="justify" vertical="top" wrapText="1"/>
    </xf>
    <xf numFmtId="2" fontId="29" fillId="0" borderId="5" xfId="0" applyNumberFormat="1" applyFont="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justify" vertical="center" wrapText="1"/>
    </xf>
    <xf numFmtId="0" fontId="0" fillId="0" borderId="9" xfId="0" applyBorder="1" applyAlignment="1">
      <alignment horizontal="justify" vertical="center" wrapText="1"/>
    </xf>
    <xf numFmtId="0" fontId="0" fillId="0" borderId="3" xfId="0" applyBorder="1" applyAlignment="1">
      <alignment horizontal="justify" vertical="center" wrapText="1"/>
    </xf>
    <xf numFmtId="165" fontId="0" fillId="0" borderId="1" xfId="0" applyNumberFormat="1" applyBorder="1" applyAlignment="1">
      <alignment horizontal="left" vertical="center" wrapText="1"/>
    </xf>
    <xf numFmtId="0" fontId="46" fillId="0" borderId="0" xfId="0" applyFont="1" applyAlignment="1">
      <alignment horizontal="center" vertical="center" wrapText="1"/>
    </xf>
    <xf numFmtId="0" fontId="0" fillId="0" borderId="1" xfId="0" applyBorder="1" applyAlignment="1">
      <alignment vertical="top" wrapText="1"/>
    </xf>
    <xf numFmtId="0" fontId="6" fillId="0" borderId="0" xfId="0" applyFont="1" applyAlignment="1">
      <alignment horizontal="left" vertical="top" wrapText="1"/>
    </xf>
    <xf numFmtId="0" fontId="19" fillId="0" borderId="0" xfId="0" applyFont="1" applyAlignment="1">
      <alignment horizontal="left" vertical="center" wrapText="1"/>
    </xf>
    <xf numFmtId="0" fontId="6" fillId="0" borderId="0" xfId="0" applyNumberFormat="1" applyFont="1" applyAlignment="1">
      <alignment horizontal="justify" vertical="top" wrapText="1"/>
    </xf>
    <xf numFmtId="0" fontId="42" fillId="0" borderId="0" xfId="0" applyFont="1" applyAlignment="1">
      <alignment horizontal="left" vertical="top" wrapText="1"/>
    </xf>
    <xf numFmtId="0" fontId="44" fillId="0" borderId="0" xfId="0" applyFont="1" applyAlignment="1">
      <alignment horizontal="left" wrapText="1"/>
    </xf>
    <xf numFmtId="0" fontId="42" fillId="0" borderId="5"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Alignment="1">
      <alignment horizontal="left" vertical="center"/>
    </xf>
    <xf numFmtId="0" fontId="42" fillId="0" borderId="0" xfId="0" applyFont="1" applyBorder="1" applyAlignment="1">
      <alignment horizontal="left" vertical="top" wrapText="1"/>
    </xf>
    <xf numFmtId="0" fontId="42" fillId="0" borderId="5" xfId="0" applyFont="1" applyBorder="1" applyAlignment="1">
      <alignment horizontal="left" vertical="top" wrapText="1"/>
    </xf>
    <xf numFmtId="0" fontId="0" fillId="0" borderId="2" xfId="0"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10" fillId="0" borderId="1" xfId="0" applyFont="1" applyBorder="1" applyAlignment="1">
      <alignment horizontal="left" vertical="center" wrapText="1"/>
    </xf>
    <xf numFmtId="165" fontId="0" fillId="0" borderId="1" xfId="0" applyNumberFormat="1" applyBorder="1" applyAlignment="1">
      <alignment horizontal="left" vertical="center"/>
    </xf>
    <xf numFmtId="0" fontId="44" fillId="0" borderId="0" xfId="0" applyFont="1" applyAlignment="1">
      <alignment horizontal="left" vertical="center" wrapText="1"/>
    </xf>
    <xf numFmtId="2" fontId="37" fillId="0" borderId="2" xfId="0" applyNumberFormat="1" applyFont="1" applyBorder="1" applyAlignment="1">
      <alignment horizontal="justify" vertical="center" wrapText="1"/>
    </xf>
    <xf numFmtId="0" fontId="37" fillId="0" borderId="9" xfId="0" applyFont="1" applyBorder="1" applyAlignment="1">
      <alignment horizontal="justify" vertical="center" wrapText="1"/>
    </xf>
    <xf numFmtId="0" fontId="37" fillId="0" borderId="3" xfId="0" applyFont="1" applyBorder="1" applyAlignment="1">
      <alignment horizontal="justify" vertical="center" wrapText="1"/>
    </xf>
    <xf numFmtId="0" fontId="0" fillId="0" borderId="1" xfId="0" applyBorder="1" applyAlignment="1">
      <alignment horizontal="left" vertical="center"/>
    </xf>
    <xf numFmtId="2" fontId="37" fillId="0" borderId="1" xfId="0" applyNumberFormat="1" applyFont="1" applyBorder="1" applyAlignment="1">
      <alignment horizontal="left" vertical="center"/>
    </xf>
    <xf numFmtId="0" fontId="37" fillId="0" borderId="1" xfId="0" applyFont="1" applyBorder="1" applyAlignment="1">
      <alignment horizontal="left" vertical="center"/>
    </xf>
    <xf numFmtId="0" fontId="42" fillId="0" borderId="5" xfId="0" applyFont="1" applyBorder="1" applyAlignment="1">
      <alignment horizontal="left" vertical="center"/>
    </xf>
    <xf numFmtId="0" fontId="42" fillId="0" borderId="0" xfId="0" applyFont="1" applyAlignment="1">
      <alignment horizontal="left" vertical="top"/>
    </xf>
    <xf numFmtId="0" fontId="42" fillId="0" borderId="0" xfId="0" applyFont="1" applyAlignment="1">
      <alignment horizontal="left"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colors>
    <mruColors>
      <color rgb="FFFF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41</xdr:row>
      <xdr:rowOff>95250</xdr:rowOff>
    </xdr:from>
    <xdr:to>
      <xdr:col>5</xdr:col>
      <xdr:colOff>123825</xdr:colOff>
      <xdr:row>42</xdr:row>
      <xdr:rowOff>142875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6050" y="21250275"/>
          <a:ext cx="14859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209550</xdr:colOff>
      <xdr:row>29</xdr:row>
      <xdr:rowOff>0</xdr:rowOff>
    </xdr:from>
    <xdr:to>
      <xdr:col>2</xdr:col>
      <xdr:colOff>76200</xdr:colOff>
      <xdr:row>30</xdr:row>
      <xdr:rowOff>76200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981825"/>
          <a:ext cx="14859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27</xdr:row>
      <xdr:rowOff>0</xdr:rowOff>
    </xdr:from>
    <xdr:to>
      <xdr:col>4</xdr:col>
      <xdr:colOff>676275</xdr:colOff>
      <xdr:row>28</xdr:row>
      <xdr:rowOff>95250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8875" y="11906250"/>
          <a:ext cx="14859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485775</xdr:colOff>
      <xdr:row>55</xdr:row>
      <xdr:rowOff>123825</xdr:rowOff>
    </xdr:from>
    <xdr:to>
      <xdr:col>4</xdr:col>
      <xdr:colOff>352425</xdr:colOff>
      <xdr:row>57</xdr:row>
      <xdr:rowOff>95250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8875" y="31442025"/>
          <a:ext cx="14859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409575</xdr:colOff>
      <xdr:row>19</xdr:row>
      <xdr:rowOff>114300</xdr:rowOff>
    </xdr:from>
    <xdr:to>
      <xdr:col>5</xdr:col>
      <xdr:colOff>666750</xdr:colOff>
      <xdr:row>21</xdr:row>
      <xdr:rowOff>76200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5295900"/>
          <a:ext cx="10096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704850</xdr:colOff>
      <xdr:row>16</xdr:row>
      <xdr:rowOff>57150</xdr:rowOff>
    </xdr:from>
    <xdr:to>
      <xdr:col>4</xdr:col>
      <xdr:colOff>514350</xdr:colOff>
      <xdr:row>18</xdr:row>
      <xdr:rowOff>28575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4575" y="4038600"/>
          <a:ext cx="16478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85725</xdr:colOff>
      <xdr:row>45</xdr:row>
      <xdr:rowOff>19050</xdr:rowOff>
    </xdr:from>
    <xdr:to>
      <xdr:col>6</xdr:col>
      <xdr:colOff>304800</xdr:colOff>
      <xdr:row>47</xdr:row>
      <xdr:rowOff>123825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0" y="14173200"/>
          <a:ext cx="12287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400050</xdr:colOff>
      <xdr:row>23</xdr:row>
      <xdr:rowOff>180975</xdr:rowOff>
    </xdr:from>
    <xdr:to>
      <xdr:col>5</xdr:col>
      <xdr:colOff>266700</xdr:colOff>
      <xdr:row>26</xdr:row>
      <xdr:rowOff>114300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8925" y="8239125"/>
          <a:ext cx="14859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180975</xdr:colOff>
      <xdr:row>52</xdr:row>
      <xdr:rowOff>152400</xdr:rowOff>
    </xdr:from>
    <xdr:to>
      <xdr:col>2</xdr:col>
      <xdr:colOff>295275</xdr:colOff>
      <xdr:row>54</xdr:row>
      <xdr:rowOff>123825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5601950"/>
          <a:ext cx="17335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200025</xdr:colOff>
      <xdr:row>16</xdr:row>
      <xdr:rowOff>161925</xdr:rowOff>
    </xdr:from>
    <xdr:to>
      <xdr:col>3</xdr:col>
      <xdr:colOff>2286000</xdr:colOff>
      <xdr:row>18</xdr:row>
      <xdr:rowOff>133350</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81425"/>
          <a:ext cx="20859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53"/>
  <sheetViews>
    <sheetView zoomScale="70" zoomScaleNormal="70" workbookViewId="0">
      <selection activeCell="D13" sqref="D13"/>
    </sheetView>
  </sheetViews>
  <sheetFormatPr baseColWidth="10" defaultRowHeight="15.75" x14ac:dyDescent="0.25"/>
  <cols>
    <col min="1" max="1" width="10.85546875" style="126" customWidth="1"/>
    <col min="2" max="2" width="33.140625" style="128" customWidth="1"/>
    <col min="3" max="3" width="46.42578125" style="129" bestFit="1" customWidth="1"/>
    <col min="4" max="4" width="22.5703125" style="116" customWidth="1"/>
    <col min="5" max="5" width="21.42578125" style="116" bestFit="1" customWidth="1"/>
    <col min="6" max="6" width="4.140625" style="86" customWidth="1"/>
    <col min="7" max="7" width="21.7109375" style="86" bestFit="1" customWidth="1"/>
    <col min="8" max="8" width="19.42578125" style="86" customWidth="1"/>
    <col min="9" max="9" width="39" style="86" customWidth="1"/>
    <col min="10" max="10" width="14.85546875" style="86" bestFit="1" customWidth="1"/>
    <col min="11" max="11" width="21" style="86" customWidth="1"/>
    <col min="12" max="12" width="22.140625" style="86" customWidth="1"/>
    <col min="13" max="13" width="8.5703125" style="86" customWidth="1"/>
    <col min="14" max="14" width="21.7109375" style="86" customWidth="1"/>
    <col min="15" max="15" width="24.85546875" style="86" customWidth="1"/>
    <col min="16" max="17" width="11.42578125" style="86"/>
    <col min="18" max="18" width="15.140625" style="86" customWidth="1"/>
    <col min="19" max="23" width="17.42578125" style="86" customWidth="1"/>
    <col min="24" max="24" width="11.42578125" style="86"/>
    <col min="25" max="25" width="15" style="86" bestFit="1" customWidth="1"/>
    <col min="26" max="27" width="11.42578125" style="86"/>
    <col min="28" max="28" width="14.28515625" style="86" bestFit="1" customWidth="1"/>
    <col min="29" max="29" width="21.140625" style="86" bestFit="1" customWidth="1"/>
    <col min="30" max="16384" width="11.42578125" style="86"/>
  </cols>
  <sheetData>
    <row r="2" spans="1:29" ht="15" x14ac:dyDescent="0.25">
      <c r="A2" s="231" t="s">
        <v>0</v>
      </c>
      <c r="B2" s="231"/>
      <c r="C2" s="231"/>
      <c r="D2" s="85"/>
      <c r="E2" s="241" t="s">
        <v>252</v>
      </c>
      <c r="F2" s="241"/>
      <c r="G2" s="241"/>
      <c r="H2" s="241"/>
      <c r="I2" s="241"/>
      <c r="J2" s="86" t="s">
        <v>247</v>
      </c>
    </row>
    <row r="3" spans="1:29" x14ac:dyDescent="0.25">
      <c r="A3" s="87" t="s">
        <v>1</v>
      </c>
      <c r="B3" s="88" t="s">
        <v>2</v>
      </c>
      <c r="C3" s="72" t="s">
        <v>354</v>
      </c>
      <c r="D3" s="89"/>
      <c r="E3" s="242" t="s">
        <v>253</v>
      </c>
      <c r="F3" s="242"/>
      <c r="G3" s="242"/>
      <c r="H3" s="242"/>
      <c r="I3" s="242"/>
      <c r="J3" s="86" t="s">
        <v>248</v>
      </c>
    </row>
    <row r="4" spans="1:29" x14ac:dyDescent="0.25">
      <c r="A4" s="87" t="s">
        <v>3</v>
      </c>
      <c r="B4" s="88" t="s">
        <v>4</v>
      </c>
      <c r="C4" s="73" t="s">
        <v>366</v>
      </c>
      <c r="D4" s="90"/>
      <c r="E4" s="243" t="s">
        <v>254</v>
      </c>
      <c r="F4" s="243"/>
      <c r="G4" s="243"/>
      <c r="H4" s="243"/>
      <c r="I4" s="243"/>
      <c r="J4" s="86" t="s">
        <v>249</v>
      </c>
    </row>
    <row r="5" spans="1:29" x14ac:dyDescent="0.25">
      <c r="A5" s="87" t="s">
        <v>5</v>
      </c>
      <c r="B5" s="88" t="s">
        <v>6</v>
      </c>
      <c r="C5" s="72" t="s">
        <v>367</v>
      </c>
      <c r="D5" s="89"/>
      <c r="E5" s="242" t="s">
        <v>255</v>
      </c>
      <c r="F5" s="242"/>
      <c r="G5" s="242"/>
      <c r="H5" s="242"/>
      <c r="I5" s="242"/>
      <c r="J5" s="86" t="s">
        <v>250</v>
      </c>
    </row>
    <row r="6" spans="1:29" x14ac:dyDescent="0.25">
      <c r="A6" s="87" t="s">
        <v>7</v>
      </c>
      <c r="B6" s="88" t="s">
        <v>8</v>
      </c>
      <c r="C6" s="91" t="str">
        <f>IF(AC17=AB17,O17,(IF(AC17=AB18,O18,IF(AC17=AB19,O19,IF(AC17=AB20,O20,O21)))))</f>
        <v>JOSE ALEXANDER ARBOLEDA CARDONA</v>
      </c>
      <c r="D6" s="92"/>
      <c r="E6" s="241" t="s">
        <v>256</v>
      </c>
      <c r="F6" s="241"/>
      <c r="G6" s="241"/>
      <c r="H6" s="241"/>
      <c r="I6" s="241"/>
      <c r="J6" s="86" t="s">
        <v>251</v>
      </c>
    </row>
    <row r="7" spans="1:29" x14ac:dyDescent="0.25">
      <c r="A7" s="87" t="s">
        <v>9</v>
      </c>
      <c r="B7" s="88" t="s">
        <v>10</v>
      </c>
      <c r="C7" s="94" t="str">
        <f>IF(AC17=AB17,U17,(IF(AC17=AB18,U18,IF(AC17=AB19,U19,IF(AC17=AB20,U20,U21)))))</f>
        <v>71,377,271-6</v>
      </c>
      <c r="D7" s="92"/>
      <c r="E7" s="92"/>
      <c r="F7" s="93"/>
    </row>
    <row r="8" spans="1:29" ht="108" customHeight="1" x14ac:dyDescent="0.25">
      <c r="A8" s="87" t="s">
        <v>11</v>
      </c>
      <c r="B8" s="88" t="s">
        <v>136</v>
      </c>
      <c r="C8" s="151" t="s">
        <v>343</v>
      </c>
      <c r="D8" s="167" t="s">
        <v>246</v>
      </c>
      <c r="E8" s="240" t="s">
        <v>344</v>
      </c>
      <c r="F8" s="240"/>
      <c r="G8" s="240"/>
      <c r="H8" s="240"/>
      <c r="I8" s="240"/>
      <c r="J8" s="95" t="s">
        <v>12</v>
      </c>
    </row>
    <row r="9" spans="1:29" ht="27.75" customHeight="1" x14ac:dyDescent="0.25">
      <c r="A9" s="87" t="s">
        <v>13</v>
      </c>
      <c r="B9" s="88" t="s">
        <v>34</v>
      </c>
      <c r="C9" s="91">
        <f>IF(AC17=AB17,W17,(IF(AC17=AB18,W18,IF(AC17=AB19,W19,IF(AC17=AB20,W20,W21)))))</f>
        <v>1350000</v>
      </c>
      <c r="D9" s="96"/>
      <c r="E9" s="96"/>
      <c r="F9" s="93"/>
      <c r="G9" s="100"/>
      <c r="H9" s="205">
        <f>IF(C28="SI",(IF(C29="NO",(IF(C30="SI",(IF(C31="NO",(IF(C32="NO",(IF(C33="NO",(IF(C34="NO",(IF(I14&gt;=D30,(I14*E30), (0))),(0))),(0))),(0))),(0))),(0))),(0))),(IF(C28="NO",(IF(C29="NO",(IF(C30="SI",(IF(C31="NO",(IF(C32="NO",(IF(C33="NO",(IF(C34="NO",(IF(I14&gt;=D30,(I14*G30), (0))),(0))),(0))),(0))),(0))),(0))),(0))),(0))))</f>
        <v>28361.325000000001</v>
      </c>
      <c r="I9" s="203" t="s">
        <v>314</v>
      </c>
      <c r="J9" s="98">
        <f>+MROUND(H9,1000)</f>
        <v>28000</v>
      </c>
      <c r="K9"/>
    </row>
    <row r="10" spans="1:29" x14ac:dyDescent="0.25">
      <c r="A10" s="87" t="s">
        <v>14</v>
      </c>
      <c r="B10" s="88" t="s">
        <v>15</v>
      </c>
      <c r="C10" s="99">
        <f>+K18</f>
        <v>1290000</v>
      </c>
      <c r="D10" s="96"/>
      <c r="E10" s="96"/>
      <c r="F10" s="93"/>
      <c r="G10" s="198"/>
      <c r="H10" s="206">
        <f>IF(C28="SI",(IF(C29="SI",(IF(C30="NO",(IF(C31="NO",(IF(C32="NO",(IF(C33="NO",(IF(C34="NO",(IF(I14&gt;=D29,(I14*E29), (0))),(0))),(0))),(0))),(0))),(0))),(0))),(IF(C28="NO",(IF(C29="SI",(IF(C30="NO",(IF(C31="NO",(IF(C32="NO",(IF(C33="NO",(IF(C34="NO",(IF(I14&gt;=D29,(I14*G29), (0))),(0))),(0))),(0))),(0))),(0))),(0))),(0))))</f>
        <v>0</v>
      </c>
      <c r="I10" s="200" t="s">
        <v>315</v>
      </c>
      <c r="J10" s="98">
        <f>+MROUND(H10,1000)</f>
        <v>0</v>
      </c>
      <c r="K10"/>
    </row>
    <row r="11" spans="1:29" x14ac:dyDescent="0.25">
      <c r="A11" s="87" t="s">
        <v>16</v>
      </c>
      <c r="B11" s="88" t="s">
        <v>17</v>
      </c>
      <c r="C11" s="72" t="s">
        <v>368</v>
      </c>
      <c r="D11" s="92" t="s">
        <v>239</v>
      </c>
      <c r="E11" s="92"/>
      <c r="F11" s="93"/>
      <c r="G11" s="100"/>
      <c r="H11" s="207">
        <f>IF(I18&gt;=D30, I15*0.15,0)</f>
        <v>32332.05</v>
      </c>
      <c r="I11" s="201" t="s">
        <v>18</v>
      </c>
      <c r="J11" s="98">
        <f>+MROUND(H11,1000)</f>
        <v>32000</v>
      </c>
      <c r="K11"/>
    </row>
    <row r="12" spans="1:29" ht="31.5" customHeight="1" x14ac:dyDescent="0.25">
      <c r="A12" s="87" t="s">
        <v>19</v>
      </c>
      <c r="B12" s="88" t="s">
        <v>137</v>
      </c>
      <c r="C12" s="99">
        <f>+K12</f>
        <v>0</v>
      </c>
      <c r="D12" s="96"/>
      <c r="E12" s="96"/>
      <c r="F12" s="93"/>
      <c r="G12" s="100"/>
      <c r="H12" s="208">
        <f>IF(C28="SI",(IF(C29="NO",(IF(C30="NO",(IF(C31="SI",(IF(C32="NO",(IF(C33="NO",(IF(C34="NO",(IF(I14&gt;=D31,(I14*E31), (0))),(0))),(0))),(0))),(0))),(0))),(0))),(IF(C28="NO",(IF(C29="NO",(IF(C30="NO",(IF(C31="SI",(IF(C32="NO",(IF(C33="NO",(IF(C34="NO",(IF(I14&gt;=D31,(I14*G31), (0))),(0))),(0))),(0))),(0))),(0))),(0))),(0))))+IF(C28="SI",(IF(C29="NO",(IF(C30="NO",(IF(C31="NO",(IF(C32="SI",(IF(C33="NO",(IF(C34="NO",(IF(I14&gt;=D32,(I14*E32), (0))),(0))),(0))),(0))),(0))),(0))),(0))),(IF(C28="NO",(IF(C29="NO",(IF(C30="NO",(IF(C31="NO",(IF(C32="SI",(IF(C33="NO",(IF(C34="NO",(IF(I14&gt;=D32,(I14*G32), (0))),(0))),(0))),(0))),(0))),(0))),(0))),(0))))+IF(C28="SI",(IF(C29="NO",(IF(C30="NO",(IF(C31="NO",(IF(C32="NO",(IF(C33="SI",(IF(C34="NO",(IF(I14&gt;=D33,(I14*E33), (0))),(0))),(0))),(0))),(0))),(0))),(0))),(IF(C28="NO",(IF(C29="NO",(IF(C30="NO",(IF(C31="NO",(IF(C32="NO",(IF(C33="SI",(IF(C34="NO",(IF(I14&gt;=D33,(I14*G33), (0))),(0))),(0))),(0))),(0))),(0))),(0))),(0))))</f>
        <v>0</v>
      </c>
      <c r="I12" s="202" t="s">
        <v>316</v>
      </c>
      <c r="J12" s="98">
        <f>+MROUND(H12,1000)</f>
        <v>0</v>
      </c>
      <c r="K12"/>
    </row>
    <row r="13" spans="1:29" ht="32.25" customHeight="1" x14ac:dyDescent="0.25">
      <c r="A13" s="87" t="s">
        <v>20</v>
      </c>
      <c r="B13" s="88" t="s">
        <v>21</v>
      </c>
      <c r="C13" s="101"/>
      <c r="D13" s="92"/>
      <c r="E13" s="92"/>
      <c r="F13" s="93"/>
      <c r="G13" s="199"/>
      <c r="H13" s="209">
        <f>IF(C28="SI",(IF(C29="NO",(IF(C30="NO",(IF(C31="NO",(IF(C32="NO",(IF(C33="NO",(IF(C34="SI",(IF(I14&gt;=D34,((I14*E34)+(I14*H29)), (0))),(0))),(0))),(0))),(0))),(0))),(0))),(IF(C28="NO",(IF(C29="NO",(IF(C30="NO",(IF(C31="NO",(IF(C32="NO",(IF(C33="NO",(IF(C34="SI",(IF(I14&gt;=D34,((I14*G34)+(I14*H29)), (0))),(0))),(0))),(0))),(0))),(0))),(0))),(0))))</f>
        <v>0</v>
      </c>
      <c r="I13" s="202" t="s">
        <v>317</v>
      </c>
      <c r="J13" s="98">
        <f>+MROUND(H13,1000)</f>
        <v>0</v>
      </c>
      <c r="K13"/>
      <c r="W13" s="93"/>
    </row>
    <row r="14" spans="1:29" x14ac:dyDescent="0.25">
      <c r="A14" s="87" t="s">
        <v>22</v>
      </c>
      <c r="B14" s="88"/>
      <c r="C14" s="101"/>
      <c r="D14" s="92"/>
      <c r="E14" s="92"/>
      <c r="F14" s="93"/>
      <c r="G14" s="232" t="s">
        <v>23</v>
      </c>
      <c r="H14" s="232"/>
      <c r="I14" s="74">
        <v>1134453</v>
      </c>
      <c r="W14" s="93" t="s">
        <v>261</v>
      </c>
    </row>
    <row r="15" spans="1:29" ht="14.45" customHeight="1" x14ac:dyDescent="0.25">
      <c r="A15" s="87" t="s">
        <v>24</v>
      </c>
      <c r="B15" s="88" t="s">
        <v>25</v>
      </c>
      <c r="C15" s="101" t="s">
        <v>184</v>
      </c>
      <c r="D15" s="92"/>
      <c r="E15" s="92"/>
      <c r="F15" s="102"/>
      <c r="G15" s="233" t="s">
        <v>26</v>
      </c>
      <c r="H15" s="233"/>
      <c r="I15" s="153">
        <v>215547</v>
      </c>
      <c r="J15" s="103"/>
      <c r="K15" s="103"/>
      <c r="N15" s="244" t="s">
        <v>27</v>
      </c>
      <c r="O15" s="244"/>
      <c r="P15" s="244"/>
      <c r="Q15" s="244"/>
      <c r="R15" s="244"/>
      <c r="S15" s="244"/>
      <c r="T15" s="244"/>
      <c r="U15" s="244"/>
      <c r="V15" s="244"/>
      <c r="W15" s="244"/>
      <c r="X15" s="244"/>
      <c r="Y15" s="244"/>
      <c r="Z15" s="244"/>
      <c r="AA15" s="244"/>
      <c r="AB15" s="244"/>
      <c r="AC15" s="244"/>
    </row>
    <row r="16" spans="1:29" ht="15.75" customHeight="1" x14ac:dyDescent="0.25">
      <c r="A16" s="87" t="s">
        <v>28</v>
      </c>
      <c r="B16" s="104" t="s">
        <v>29</v>
      </c>
      <c r="C16" s="101" t="s">
        <v>182</v>
      </c>
      <c r="D16" s="92"/>
      <c r="E16" s="92"/>
      <c r="F16" s="102"/>
      <c r="G16" s="245" t="s">
        <v>30</v>
      </c>
      <c r="H16" s="245"/>
      <c r="I16" s="105">
        <f>+I14+I15</f>
        <v>1350000</v>
      </c>
      <c r="J16" s="103"/>
      <c r="K16" s="103"/>
      <c r="N16" s="106" t="s">
        <v>31</v>
      </c>
      <c r="O16" s="244" t="s">
        <v>32</v>
      </c>
      <c r="P16" s="244"/>
      <c r="Q16" s="244"/>
      <c r="R16" s="244"/>
      <c r="S16" s="244"/>
      <c r="T16" s="244"/>
      <c r="U16" s="246" t="s">
        <v>33</v>
      </c>
      <c r="V16" s="246"/>
      <c r="W16" s="107" t="s">
        <v>34</v>
      </c>
      <c r="X16" s="108" t="s">
        <v>35</v>
      </c>
      <c r="Y16" s="108" t="s">
        <v>36</v>
      </c>
      <c r="Z16" s="109" t="s">
        <v>37</v>
      </c>
      <c r="AA16" s="109" t="s">
        <v>38</v>
      </c>
      <c r="AB16" s="108" t="s">
        <v>39</v>
      </c>
      <c r="AC16" s="110" t="s">
        <v>40</v>
      </c>
    </row>
    <row r="17" spans="1:29" ht="15" customHeight="1" x14ac:dyDescent="0.25">
      <c r="A17" s="87" t="s">
        <v>41</v>
      </c>
      <c r="B17" s="88" t="s">
        <v>42</v>
      </c>
      <c r="C17" s="75" t="s">
        <v>350</v>
      </c>
      <c r="D17" s="92" t="s">
        <v>190</v>
      </c>
      <c r="E17" s="92"/>
      <c r="F17" s="102"/>
      <c r="G17" s="256" t="s">
        <v>43</v>
      </c>
      <c r="H17" s="256"/>
      <c r="I17" s="76"/>
      <c r="J17" s="103"/>
      <c r="K17" s="197">
        <f>SUM(J9:J13)</f>
        <v>60000</v>
      </c>
      <c r="L17" s="97" t="s">
        <v>195</v>
      </c>
      <c r="N17" s="112">
        <v>1</v>
      </c>
      <c r="O17" s="249" t="s">
        <v>354</v>
      </c>
      <c r="P17" s="250"/>
      <c r="Q17" s="250"/>
      <c r="R17" s="250"/>
      <c r="S17" s="250"/>
      <c r="T17" s="250"/>
      <c r="U17" s="252" t="s">
        <v>355</v>
      </c>
      <c r="V17" s="253"/>
      <c r="W17" s="77">
        <v>1350000</v>
      </c>
      <c r="X17" s="78">
        <v>25</v>
      </c>
      <c r="Y17" s="78" t="s">
        <v>369</v>
      </c>
      <c r="Z17" s="78">
        <v>70</v>
      </c>
      <c r="AA17" s="78">
        <v>30</v>
      </c>
      <c r="AB17" s="113">
        <f>Z17+AA17</f>
        <v>100</v>
      </c>
      <c r="AC17" s="247">
        <f>MAX(AB17,AB18,AB19,AB20,AB21)</f>
        <v>100</v>
      </c>
    </row>
    <row r="18" spans="1:29" ht="15" customHeight="1" x14ac:dyDescent="0.25">
      <c r="A18" s="87" t="s">
        <v>44</v>
      </c>
      <c r="B18" s="88" t="s">
        <v>204</v>
      </c>
      <c r="C18" s="75" t="s">
        <v>374</v>
      </c>
      <c r="D18" s="92" t="s">
        <v>185</v>
      </c>
      <c r="E18" s="92"/>
      <c r="F18" s="102"/>
      <c r="G18" s="248" t="s">
        <v>45</v>
      </c>
      <c r="H18" s="248"/>
      <c r="I18" s="114">
        <f>+I16+I17</f>
        <v>1350000</v>
      </c>
      <c r="J18" s="103"/>
      <c r="K18" s="111">
        <f>+I18-K17</f>
        <v>1290000</v>
      </c>
      <c r="L18" s="97" t="s">
        <v>196</v>
      </c>
      <c r="N18" s="112">
        <v>2</v>
      </c>
      <c r="O18" s="249"/>
      <c r="P18" s="250"/>
      <c r="Q18" s="250"/>
      <c r="R18" s="250"/>
      <c r="S18" s="250"/>
      <c r="T18" s="251"/>
      <c r="U18" s="252"/>
      <c r="V18" s="253"/>
      <c r="W18" s="77"/>
      <c r="X18" s="79"/>
      <c r="Y18" s="78"/>
      <c r="Z18" s="78"/>
      <c r="AA18" s="78"/>
      <c r="AB18" s="113">
        <f>Z18+AA18</f>
        <v>0</v>
      </c>
      <c r="AC18" s="247"/>
    </row>
    <row r="19" spans="1:29" x14ac:dyDescent="0.25">
      <c r="A19" s="87" t="s">
        <v>46</v>
      </c>
      <c r="B19" s="88" t="s">
        <v>203</v>
      </c>
      <c r="C19" s="168" t="str">
        <f>+C18</f>
        <v>007- 06-2020</v>
      </c>
      <c r="D19" s="115" t="s">
        <v>185</v>
      </c>
      <c r="K19" s="111">
        <f>+K17+K18</f>
        <v>1350000</v>
      </c>
      <c r="L19" s="97" t="s">
        <v>197</v>
      </c>
      <c r="N19" s="112">
        <v>3</v>
      </c>
      <c r="O19" s="254"/>
      <c r="P19" s="250"/>
      <c r="Q19" s="250"/>
      <c r="R19" s="250"/>
      <c r="S19" s="250"/>
      <c r="T19" s="251"/>
      <c r="U19" s="255"/>
      <c r="V19" s="253"/>
      <c r="W19" s="77"/>
      <c r="X19" s="79"/>
      <c r="Y19" s="78"/>
      <c r="Z19" s="78"/>
      <c r="AA19" s="78"/>
      <c r="AB19" s="113">
        <f>Z19+AA19</f>
        <v>0</v>
      </c>
      <c r="AC19" s="247"/>
    </row>
    <row r="20" spans="1:29" x14ac:dyDescent="0.25">
      <c r="A20" s="87" t="s">
        <v>47</v>
      </c>
      <c r="B20" s="88" t="s">
        <v>48</v>
      </c>
      <c r="C20" s="81">
        <v>1375000</v>
      </c>
      <c r="D20" s="92" t="s">
        <v>189</v>
      </c>
      <c r="E20" s="89"/>
      <c r="N20" s="117">
        <v>4</v>
      </c>
      <c r="O20" s="254"/>
      <c r="P20" s="250"/>
      <c r="Q20" s="250"/>
      <c r="R20" s="250"/>
      <c r="S20" s="250"/>
      <c r="T20" s="251"/>
      <c r="U20" s="255"/>
      <c r="V20" s="253"/>
      <c r="W20" s="82"/>
      <c r="X20" s="79"/>
      <c r="Y20" s="78"/>
      <c r="Z20" s="78"/>
      <c r="AA20" s="78"/>
      <c r="AB20" s="113">
        <f>Z20+AA20</f>
        <v>0</v>
      </c>
      <c r="AC20" s="247"/>
    </row>
    <row r="21" spans="1:29" x14ac:dyDescent="0.25">
      <c r="A21" s="87" t="s">
        <v>49</v>
      </c>
      <c r="B21" s="118" t="s">
        <v>50</v>
      </c>
      <c r="C21" s="80" t="s">
        <v>365</v>
      </c>
      <c r="D21" s="92" t="s">
        <v>232</v>
      </c>
      <c r="E21" s="89"/>
      <c r="N21" s="117">
        <v>5</v>
      </c>
      <c r="O21" s="254"/>
      <c r="P21" s="250"/>
      <c r="Q21" s="250"/>
      <c r="R21" s="250"/>
      <c r="S21" s="250"/>
      <c r="T21" s="251"/>
      <c r="U21" s="257"/>
      <c r="V21" s="257"/>
      <c r="W21" s="77"/>
      <c r="X21" s="78"/>
      <c r="Y21" s="78"/>
      <c r="Z21" s="78"/>
      <c r="AA21" s="78"/>
      <c r="AB21" s="113">
        <f>Z21+AA21</f>
        <v>0</v>
      </c>
      <c r="AC21" s="247"/>
    </row>
    <row r="22" spans="1:29" x14ac:dyDescent="0.25">
      <c r="A22" s="87" t="s">
        <v>51</v>
      </c>
      <c r="B22" s="88" t="s">
        <v>143</v>
      </c>
      <c r="C22" s="72" t="s">
        <v>345</v>
      </c>
      <c r="D22" s="92" t="s">
        <v>200</v>
      </c>
      <c r="E22" s="89"/>
      <c r="N22" s="176"/>
      <c r="O22"/>
      <c r="P22"/>
      <c r="Q22"/>
      <c r="R22"/>
      <c r="S22"/>
      <c r="T22"/>
      <c r="U22"/>
      <c r="V22"/>
      <c r="W22"/>
    </row>
    <row r="23" spans="1:29" x14ac:dyDescent="0.25">
      <c r="A23" s="87" t="s">
        <v>52</v>
      </c>
      <c r="B23" s="88" t="s">
        <v>53</v>
      </c>
      <c r="C23" s="101" t="str">
        <f>+J45</f>
        <v>27 de marzo de 2020</v>
      </c>
      <c r="D23" s="89"/>
      <c r="E23" s="89"/>
      <c r="N23" s="176"/>
      <c r="O23"/>
      <c r="P23"/>
      <c r="Q23"/>
      <c r="R23"/>
      <c r="S23"/>
      <c r="T23"/>
      <c r="U23"/>
      <c r="V23"/>
      <c r="W23"/>
    </row>
    <row r="24" spans="1:29" ht="15.75" customHeight="1" x14ac:dyDescent="0.25">
      <c r="A24" s="87" t="s">
        <v>55</v>
      </c>
      <c r="B24" s="88" t="s">
        <v>206</v>
      </c>
      <c r="C24" s="168" t="str">
        <f>+C18</f>
        <v>007- 06-2020</v>
      </c>
      <c r="D24" s="115" t="s">
        <v>185</v>
      </c>
      <c r="H24" s="119"/>
      <c r="I24" s="93"/>
      <c r="N24" s="292" t="s">
        <v>262</v>
      </c>
      <c r="O24" s="292"/>
      <c r="P24" s="292"/>
      <c r="Q24" s="292"/>
      <c r="R24" s="292"/>
      <c r="S24" s="292"/>
      <c r="T24" s="292"/>
      <c r="U24" s="292"/>
      <c r="V24" s="292"/>
      <c r="W24" s="292"/>
    </row>
    <row r="25" spans="1:29" ht="15" customHeight="1" x14ac:dyDescent="0.25">
      <c r="A25" s="87" t="s">
        <v>62</v>
      </c>
      <c r="B25" s="88" t="s">
        <v>138</v>
      </c>
      <c r="C25" s="73" t="s">
        <v>373</v>
      </c>
      <c r="D25" s="115" t="s">
        <v>186</v>
      </c>
      <c r="E25" s="89"/>
      <c r="H25" s="93"/>
      <c r="I25" s="93"/>
      <c r="N25" s="106" t="s">
        <v>31</v>
      </c>
      <c r="O25" s="244" t="s">
        <v>32</v>
      </c>
      <c r="P25" s="244"/>
      <c r="Q25" s="244"/>
      <c r="R25" s="244"/>
      <c r="S25" s="244"/>
      <c r="T25" s="244"/>
      <c r="U25" s="246" t="s">
        <v>33</v>
      </c>
      <c r="V25" s="246"/>
      <c r="W25" s="171" t="s">
        <v>34</v>
      </c>
    </row>
    <row r="26" spans="1:29" x14ac:dyDescent="0.25">
      <c r="A26" s="87" t="s">
        <v>64</v>
      </c>
      <c r="B26" s="88" t="s">
        <v>65</v>
      </c>
      <c r="C26" s="75" t="s">
        <v>346</v>
      </c>
      <c r="D26" s="92" t="s">
        <v>188</v>
      </c>
      <c r="E26" s="89"/>
      <c r="H26" s="93"/>
      <c r="I26" s="93"/>
      <c r="N26" s="112">
        <v>1</v>
      </c>
      <c r="O26" s="249" t="s">
        <v>354</v>
      </c>
      <c r="P26" s="250"/>
      <c r="Q26" s="250"/>
      <c r="R26" s="250"/>
      <c r="S26" s="250"/>
      <c r="T26" s="250"/>
      <c r="U26" s="252" t="s">
        <v>355</v>
      </c>
      <c r="V26" s="253"/>
      <c r="W26" s="77">
        <v>1350000</v>
      </c>
    </row>
    <row r="27" spans="1:29" x14ac:dyDescent="0.25">
      <c r="A27" s="87" t="s">
        <v>66</v>
      </c>
      <c r="B27" s="88" t="s">
        <v>211</v>
      </c>
      <c r="C27" s="168" t="str">
        <f>+C18</f>
        <v>007- 06-2020</v>
      </c>
      <c r="D27" s="115" t="s">
        <v>185</v>
      </c>
      <c r="E27" s="89"/>
      <c r="H27" s="123"/>
      <c r="I27" s="93"/>
      <c r="N27" s="112">
        <v>2</v>
      </c>
      <c r="O27" s="249" t="s">
        <v>356</v>
      </c>
      <c r="P27" s="250"/>
      <c r="Q27" s="250"/>
      <c r="R27" s="250"/>
      <c r="S27" s="250"/>
      <c r="T27" s="251"/>
      <c r="U27" s="252" t="s">
        <v>357</v>
      </c>
      <c r="V27" s="253"/>
      <c r="W27" s="77">
        <v>1397357</v>
      </c>
    </row>
    <row r="28" spans="1:29" ht="30" x14ac:dyDescent="0.25">
      <c r="A28" s="87" t="s">
        <v>67</v>
      </c>
      <c r="B28" s="118" t="s">
        <v>68</v>
      </c>
      <c r="C28" s="204" t="s">
        <v>369</v>
      </c>
      <c r="D28" s="189" t="s">
        <v>310</v>
      </c>
      <c r="E28" s="191" t="s">
        <v>311</v>
      </c>
      <c r="F28" s="192"/>
      <c r="G28" s="191" t="s">
        <v>312</v>
      </c>
      <c r="H28" s="191" t="s">
        <v>313</v>
      </c>
      <c r="I28" s="93"/>
      <c r="N28" s="112">
        <v>3</v>
      </c>
      <c r="O28" s="254" t="s">
        <v>358</v>
      </c>
      <c r="P28" s="250"/>
      <c r="Q28" s="250"/>
      <c r="R28" s="250"/>
      <c r="S28" s="250"/>
      <c r="T28" s="251"/>
      <c r="U28" s="255" t="s">
        <v>359</v>
      </c>
      <c r="V28" s="253"/>
      <c r="W28" s="77">
        <v>1375402</v>
      </c>
    </row>
    <row r="29" spans="1:29" ht="15.75" customHeight="1" x14ac:dyDescent="0.25">
      <c r="A29" s="87" t="s">
        <v>70</v>
      </c>
      <c r="B29" s="118" t="s">
        <v>71</v>
      </c>
      <c r="C29" s="72" t="s">
        <v>370</v>
      </c>
      <c r="D29" s="190">
        <v>142000</v>
      </c>
      <c r="E29" s="193">
        <v>0.04</v>
      </c>
      <c r="F29" s="194"/>
      <c r="G29" s="195">
        <v>0.06</v>
      </c>
      <c r="H29" s="196">
        <v>0.05</v>
      </c>
      <c r="I29" s="93"/>
      <c r="N29" s="117">
        <v>4</v>
      </c>
      <c r="O29" s="254"/>
      <c r="P29" s="250"/>
      <c r="Q29" s="250"/>
      <c r="R29" s="250"/>
      <c r="S29" s="250"/>
      <c r="T29" s="251"/>
      <c r="U29" s="255"/>
      <c r="V29" s="253"/>
      <c r="W29" s="82"/>
    </row>
    <row r="30" spans="1:29" ht="15.75" customHeight="1" x14ac:dyDescent="0.25">
      <c r="A30" s="87" t="s">
        <v>73</v>
      </c>
      <c r="B30" s="118" t="s">
        <v>300</v>
      </c>
      <c r="C30" s="72" t="s">
        <v>369</v>
      </c>
      <c r="D30" s="190">
        <v>961000</v>
      </c>
      <c r="E30" s="193">
        <v>2.5000000000000001E-2</v>
      </c>
      <c r="F30" s="194"/>
      <c r="G30" s="195">
        <v>3.5000000000000003E-2</v>
      </c>
      <c r="H30" s="123"/>
      <c r="I30" s="93"/>
      <c r="N30" s="176"/>
      <c r="O30" s="210"/>
      <c r="P30" s="211"/>
      <c r="Q30" s="211"/>
      <c r="R30" s="211"/>
      <c r="S30" s="211"/>
      <c r="T30" s="211"/>
      <c r="U30" s="212"/>
      <c r="V30" s="212"/>
      <c r="W30" s="213"/>
    </row>
    <row r="31" spans="1:29" ht="15.75" customHeight="1" x14ac:dyDescent="0.25">
      <c r="A31" s="87" t="s">
        <v>74</v>
      </c>
      <c r="B31" s="118" t="s">
        <v>305</v>
      </c>
      <c r="C31" s="72" t="s">
        <v>370</v>
      </c>
      <c r="D31" s="190">
        <v>961000</v>
      </c>
      <c r="E31" s="193">
        <v>3.5000000000000003E-2</v>
      </c>
      <c r="F31" s="194"/>
      <c r="G31" s="195">
        <v>3.5000000000000003E-2</v>
      </c>
      <c r="H31" s="123"/>
      <c r="I31" s="93"/>
      <c r="N31" s="176"/>
      <c r="O31" s="210"/>
      <c r="P31" s="211"/>
      <c r="Q31" s="211"/>
      <c r="R31" s="211"/>
      <c r="S31" s="211"/>
      <c r="T31" s="211"/>
      <c r="U31" s="212"/>
      <c r="V31" s="212"/>
      <c r="W31" s="213"/>
    </row>
    <row r="32" spans="1:29" ht="15.75" customHeight="1" x14ac:dyDescent="0.25">
      <c r="A32" s="87" t="s">
        <v>76</v>
      </c>
      <c r="B32" s="118" t="s">
        <v>306</v>
      </c>
      <c r="C32" s="72" t="s">
        <v>370</v>
      </c>
      <c r="D32" s="190">
        <v>0</v>
      </c>
      <c r="E32" s="193">
        <v>0.1</v>
      </c>
      <c r="F32" s="194"/>
      <c r="G32" s="195">
        <v>0.1</v>
      </c>
      <c r="H32" s="123"/>
      <c r="I32" s="93"/>
      <c r="N32" s="176"/>
      <c r="O32" s="210"/>
      <c r="P32" s="211"/>
      <c r="Q32" s="211"/>
      <c r="R32" s="211"/>
      <c r="S32" s="211"/>
      <c r="T32" s="211"/>
      <c r="U32" s="212"/>
      <c r="V32" s="212"/>
      <c r="W32" s="213"/>
    </row>
    <row r="33" spans="1:23" ht="15.75" customHeight="1" x14ac:dyDescent="0.25">
      <c r="A33" s="87" t="s">
        <v>77</v>
      </c>
      <c r="B33" s="118" t="s">
        <v>308</v>
      </c>
      <c r="C33" s="72" t="s">
        <v>370</v>
      </c>
      <c r="D33" s="190">
        <v>0</v>
      </c>
      <c r="E33" s="193">
        <v>3.5000000000000003E-2</v>
      </c>
      <c r="F33" s="194"/>
      <c r="G33" s="195">
        <v>3.5000000000000003E-2</v>
      </c>
      <c r="H33" s="123"/>
      <c r="I33" s="93"/>
      <c r="N33" s="176"/>
      <c r="O33" s="210"/>
      <c r="P33" s="211"/>
      <c r="Q33" s="211"/>
      <c r="R33" s="211"/>
      <c r="S33" s="211"/>
      <c r="T33" s="211"/>
      <c r="U33" s="212"/>
      <c r="V33" s="212"/>
      <c r="W33" s="213"/>
    </row>
    <row r="34" spans="1:23" ht="15.75" customHeight="1" x14ac:dyDescent="0.25">
      <c r="A34" s="87" t="s">
        <v>78</v>
      </c>
      <c r="B34" s="118" t="s">
        <v>309</v>
      </c>
      <c r="C34" s="72" t="s">
        <v>370</v>
      </c>
      <c r="D34" s="190">
        <v>0</v>
      </c>
      <c r="E34" s="193">
        <v>0.02</v>
      </c>
      <c r="F34" s="194"/>
      <c r="G34" s="195">
        <v>0.02</v>
      </c>
      <c r="H34" s="123"/>
      <c r="I34" s="93"/>
      <c r="N34" s="176"/>
      <c r="O34" s="210"/>
      <c r="P34" s="211"/>
      <c r="Q34" s="211"/>
      <c r="R34" s="211"/>
      <c r="S34" s="211"/>
      <c r="T34" s="211"/>
      <c r="U34" s="212"/>
      <c r="V34" s="212"/>
      <c r="W34" s="213"/>
    </row>
    <row r="35" spans="1:23" ht="29.1" customHeight="1" x14ac:dyDescent="0.25">
      <c r="A35" s="87" t="s">
        <v>79</v>
      </c>
      <c r="B35" s="88" t="s">
        <v>205</v>
      </c>
      <c r="C35" s="170" t="str">
        <f>+C18</f>
        <v>007- 06-2020</v>
      </c>
      <c r="D35" s="115" t="s">
        <v>185</v>
      </c>
      <c r="E35" s="89"/>
      <c r="H35" s="93"/>
      <c r="N35" s="176"/>
      <c r="O35"/>
      <c r="P35"/>
      <c r="Q35"/>
      <c r="R35"/>
      <c r="S35"/>
      <c r="T35"/>
      <c r="U35"/>
      <c r="V35"/>
      <c r="W35"/>
    </row>
    <row r="36" spans="1:23" ht="29.1" customHeight="1" x14ac:dyDescent="0.25">
      <c r="A36" s="87" t="s">
        <v>81</v>
      </c>
      <c r="B36" s="88" t="s">
        <v>157</v>
      </c>
      <c r="C36" s="125" t="str">
        <f>+C17</f>
        <v>23 de junio de 2020</v>
      </c>
      <c r="D36" s="115" t="s">
        <v>198</v>
      </c>
      <c r="E36" s="89"/>
      <c r="H36" s="93"/>
      <c r="N36" s="261" t="s">
        <v>54</v>
      </c>
      <c r="O36" s="262"/>
      <c r="P36" s="262"/>
      <c r="Q36" s="262"/>
      <c r="R36" s="262"/>
      <c r="S36" s="262"/>
      <c r="T36" s="262"/>
      <c r="U36" s="262"/>
      <c r="V36" s="262"/>
      <c r="W36" s="263"/>
    </row>
    <row r="37" spans="1:23" ht="29.1" customHeight="1" x14ac:dyDescent="0.25">
      <c r="A37" s="87" t="s">
        <v>85</v>
      </c>
      <c r="B37" s="88" t="s">
        <v>162</v>
      </c>
      <c r="C37" s="72" t="s">
        <v>364</v>
      </c>
      <c r="D37" s="92" t="s">
        <v>187</v>
      </c>
      <c r="E37" s="89"/>
      <c r="H37" s="93"/>
      <c r="I37" s="93"/>
      <c r="N37" s="264" t="s">
        <v>56</v>
      </c>
      <c r="O37" s="265"/>
      <c r="P37" s="265"/>
      <c r="Q37" s="265"/>
      <c r="R37" s="266"/>
      <c r="S37" s="120" t="s">
        <v>57</v>
      </c>
      <c r="T37" s="120" t="s">
        <v>58</v>
      </c>
      <c r="U37" s="120" t="s">
        <v>59</v>
      </c>
      <c r="V37" s="120" t="s">
        <v>60</v>
      </c>
      <c r="W37" s="120" t="s">
        <v>61</v>
      </c>
    </row>
    <row r="38" spans="1:23" ht="17.45" customHeight="1" x14ac:dyDescent="0.25">
      <c r="A38" s="87" t="s">
        <v>170</v>
      </c>
      <c r="B38" s="88" t="s">
        <v>163</v>
      </c>
      <c r="C38" s="125" t="str">
        <f>+C17</f>
        <v>23 de junio de 2020</v>
      </c>
      <c r="D38" s="92" t="s">
        <v>183</v>
      </c>
      <c r="E38" s="89"/>
      <c r="H38" s="93"/>
      <c r="I38" s="93"/>
      <c r="N38" s="267" t="s">
        <v>63</v>
      </c>
      <c r="O38" s="268"/>
      <c r="P38" s="268"/>
      <c r="Q38" s="268"/>
      <c r="R38" s="269"/>
      <c r="S38" s="121" t="str">
        <f>IF(O17&lt;&gt;"",IF(Y17="si","Cumplió",IF(Y17="No","No Hábil","√")),"N/A")</f>
        <v>Cumplió</v>
      </c>
      <c r="T38" s="122" t="str">
        <f>IF(O18&lt;&gt;"",IF(Y18="si","Cumplió",IF(Y18="No","No Hábil","√")),"N/A")</f>
        <v>N/A</v>
      </c>
      <c r="U38" s="122" t="str">
        <f>IF(O19&lt;&gt;"",IF(Y19="si","Cumplió",IF(Y19="No","No Hábil","√")),"N/A")</f>
        <v>N/A</v>
      </c>
      <c r="V38" s="122" t="str">
        <f>IF(O20&lt;&gt;"",IF(Y20="si","Cumplió",IF(Y20="No","No Hábil","√")),"N/A")</f>
        <v>N/A</v>
      </c>
      <c r="W38" s="122" t="str">
        <f>IF(O21&lt;&gt;"",IF(Y21="si","Cumplió",IF(Y21="No","No Hábil","√")),"N/A")</f>
        <v>N/A</v>
      </c>
    </row>
    <row r="39" spans="1:23" x14ac:dyDescent="0.25">
      <c r="A39" s="87" t="s">
        <v>243</v>
      </c>
      <c r="B39" s="127" t="s">
        <v>171</v>
      </c>
      <c r="C39" s="168" t="str">
        <f>+C21</f>
        <v>4 dias</v>
      </c>
      <c r="D39" s="92" t="s">
        <v>233</v>
      </c>
      <c r="E39" s="89"/>
      <c r="H39" s="93"/>
      <c r="I39" s="93"/>
      <c r="N39" s="270"/>
      <c r="O39" s="271"/>
      <c r="P39" s="271"/>
      <c r="Q39" s="271"/>
      <c r="R39" s="272"/>
      <c r="S39" s="273"/>
      <c r="T39" s="274"/>
      <c r="U39" s="274"/>
      <c r="V39" s="274"/>
      <c r="W39" s="275"/>
    </row>
    <row r="40" spans="1:23" ht="17.45" customHeight="1" x14ac:dyDescent="0.25">
      <c r="A40" s="87" t="s">
        <v>279</v>
      </c>
      <c r="B40" s="88" t="s">
        <v>164</v>
      </c>
      <c r="C40" s="75"/>
      <c r="D40" s="92" t="s">
        <v>199</v>
      </c>
      <c r="E40" s="89"/>
      <c r="H40" s="93"/>
      <c r="I40" s="93"/>
      <c r="O40" s="124"/>
      <c r="P40" s="124"/>
      <c r="Q40" s="124"/>
      <c r="R40" s="124"/>
      <c r="S40" s="124"/>
      <c r="T40" s="124"/>
      <c r="U40" s="124"/>
    </row>
    <row r="41" spans="1:23" ht="17.45" customHeight="1" x14ac:dyDescent="0.25">
      <c r="A41" s="87" t="s">
        <v>288</v>
      </c>
      <c r="B41" s="88" t="s">
        <v>165</v>
      </c>
      <c r="C41" s="75"/>
      <c r="D41" s="92" t="s">
        <v>199</v>
      </c>
      <c r="E41" s="89"/>
      <c r="H41" s="93"/>
      <c r="I41" s="93"/>
      <c r="N41" s="261" t="s">
        <v>69</v>
      </c>
      <c r="O41" s="262"/>
      <c r="P41" s="262"/>
      <c r="Q41" s="262"/>
      <c r="R41" s="262"/>
      <c r="S41" s="262"/>
      <c r="T41" s="262"/>
      <c r="U41" s="262"/>
      <c r="V41" s="262"/>
      <c r="W41" s="263"/>
    </row>
    <row r="42" spans="1:23" ht="17.45" customHeight="1" x14ac:dyDescent="0.25">
      <c r="A42" s="87" t="s">
        <v>290</v>
      </c>
      <c r="B42" s="88" t="s">
        <v>166</v>
      </c>
      <c r="C42" s="83"/>
      <c r="D42" s="92" t="s">
        <v>199</v>
      </c>
      <c r="N42" s="276" t="s">
        <v>72</v>
      </c>
      <c r="O42" s="277"/>
      <c r="P42" s="277"/>
      <c r="Q42" s="277"/>
      <c r="R42" s="278"/>
      <c r="S42" s="120" t="s">
        <v>57</v>
      </c>
      <c r="T42" s="120" t="s">
        <v>58</v>
      </c>
      <c r="U42" s="120" t="s">
        <v>59</v>
      </c>
      <c r="V42" s="120" t="s">
        <v>60</v>
      </c>
      <c r="W42" s="120" t="s">
        <v>61</v>
      </c>
    </row>
    <row r="43" spans="1:23" ht="34.5" customHeight="1" x14ac:dyDescent="0.25">
      <c r="A43" s="87" t="s">
        <v>301</v>
      </c>
      <c r="B43" s="88" t="s">
        <v>180</v>
      </c>
      <c r="C43" s="101" t="str">
        <f>+C17</f>
        <v>23 de junio de 2020</v>
      </c>
      <c r="H43" s="238" t="s">
        <v>80</v>
      </c>
      <c r="I43" s="238"/>
      <c r="J43" s="238"/>
      <c r="K43" s="238"/>
      <c r="N43" s="284" t="s">
        <v>294</v>
      </c>
      <c r="O43" s="284"/>
      <c r="P43" s="284"/>
      <c r="Q43" s="284"/>
      <c r="R43" s="284"/>
      <c r="S43" s="122" t="str">
        <f>IF(C47="SI","Cumplió","No Requiere")</f>
        <v>No Requiere</v>
      </c>
      <c r="T43" s="122" t="str">
        <f xml:space="preserve"> IF($T$38="Cumplió",IF($Y$18="si","Cumplió",  "No Evaluado"),IF($T$38="No Hábil", "No Hábil","N/A"))</f>
        <v>N/A</v>
      </c>
      <c r="U43" s="122" t="str">
        <f xml:space="preserve"> IF($U$38="Cumplió",IF($Y$19="si","Cumplió",  "No Evaluado"),IF($U$38="No Hábil", "No Hábil","N/A"))</f>
        <v>N/A</v>
      </c>
      <c r="V43" s="122" t="str">
        <f xml:space="preserve"> IF($V$38="Cumplió",IF($Y$20="si","Cumplió",  "No Evaluado"),IF($V$38="No Hábil", "No Hábil","N/A"))</f>
        <v>N/A</v>
      </c>
      <c r="W43" s="122" t="str">
        <f xml:space="preserve"> IF($W$38="Cumplió",IF($Y$21="si","Cumplió",  "No Evaluado"),IF($W$38="No Hábil", "No Hábil","N/A"))</f>
        <v>N/A</v>
      </c>
    </row>
    <row r="44" spans="1:23" ht="34.5" customHeight="1" x14ac:dyDescent="0.25">
      <c r="A44" s="87" t="s">
        <v>302</v>
      </c>
      <c r="B44" s="167" t="s">
        <v>244</v>
      </c>
      <c r="C44" s="72" t="s">
        <v>347</v>
      </c>
      <c r="D44" s="92" t="s">
        <v>245</v>
      </c>
      <c r="H44" s="130" t="s">
        <v>82</v>
      </c>
      <c r="I44" s="130" t="s">
        <v>83</v>
      </c>
      <c r="J44" s="130" t="s">
        <v>84</v>
      </c>
      <c r="K44" s="130" t="s">
        <v>130</v>
      </c>
      <c r="N44" s="284" t="s">
        <v>268</v>
      </c>
      <c r="O44" s="284"/>
      <c r="P44" s="284"/>
      <c r="Q44" s="284"/>
      <c r="R44" s="284"/>
      <c r="S44" s="122" t="str">
        <f xml:space="preserve"> IF($S$38="Cumplió",IF($Y$17="si","Cumplió",  "No Evaluado"),IF($S$38="No Hábil", "No Hábil","N/A"))</f>
        <v>Cumplió</v>
      </c>
      <c r="T44" s="122" t="str">
        <f t="shared" ref="T44:T51" si="0" xml:space="preserve"> IF($T$38="Cumplió",IF($Y$18="si","Cumplió",  "No Evaluado"),IF($T$38="No Hábil", "No Hábil","N/A"))</f>
        <v>N/A</v>
      </c>
      <c r="U44" s="122" t="str">
        <f t="shared" ref="U44:U51" si="1" xml:space="preserve"> IF($U$38="Cumplió",IF($Y$19="si","Cumplió",  "No Evaluado"),IF($U$38="No Hábil", "No Hábil","N/A"))</f>
        <v>N/A</v>
      </c>
      <c r="V44" s="122" t="str">
        <f t="shared" ref="V44:V51" si="2" xml:space="preserve"> IF($V$38="Cumplió",IF($Y$20="si","Cumplió",  "No Evaluado"),IF($V$38="No Hábil", "No Hábil","N/A"))</f>
        <v>N/A</v>
      </c>
      <c r="W44" s="122" t="str">
        <f t="shared" ref="W44:W51" si="3" xml:space="preserve"> IF($W$38="Cumplió",IF($Y$21="si","Cumplió",  "No Evaluado"),IF($W$38="No Hábil", "No Hábil","N/A"))</f>
        <v>N/A</v>
      </c>
    </row>
    <row r="45" spans="1:23" ht="35.450000000000003" customHeight="1" x14ac:dyDescent="0.25">
      <c r="A45" s="87" t="s">
        <v>303</v>
      </c>
      <c r="B45" s="167" t="s">
        <v>280</v>
      </c>
      <c r="C45" s="72"/>
      <c r="D45" s="236" t="s">
        <v>225</v>
      </c>
      <c r="E45" s="236"/>
      <c r="F45" s="100"/>
      <c r="G45" s="100"/>
      <c r="H45" s="237" t="s">
        <v>120</v>
      </c>
      <c r="I45" s="131" t="s">
        <v>240</v>
      </c>
      <c r="J45" s="279" t="str">
        <f>+C26</f>
        <v>27 de marzo de 2020</v>
      </c>
      <c r="K45" s="282" t="s">
        <v>120</v>
      </c>
      <c r="N45" s="284" t="s">
        <v>75</v>
      </c>
      <c r="O45" s="284"/>
      <c r="P45" s="284"/>
      <c r="Q45" s="284"/>
      <c r="R45" s="284"/>
      <c r="S45" s="122" t="str">
        <f t="shared" ref="S45:S50" si="4" xml:space="preserve"> IF($S$38="Cumplió",IF($Y$17="si","Cumplió",  "No Evaluado"),IF($S$38="No Hábil", "No Hábil","N/A"))</f>
        <v>Cumplió</v>
      </c>
      <c r="T45" s="122" t="str">
        <f t="shared" si="0"/>
        <v>N/A</v>
      </c>
      <c r="U45" s="122" t="str">
        <f t="shared" si="1"/>
        <v>N/A</v>
      </c>
      <c r="V45" s="122" t="str">
        <f t="shared" si="2"/>
        <v>N/A</v>
      </c>
      <c r="W45" s="122" t="str">
        <f t="shared" si="3"/>
        <v>N/A</v>
      </c>
    </row>
    <row r="46" spans="1:23" ht="54" customHeight="1" x14ac:dyDescent="0.25">
      <c r="A46" s="87" t="s">
        <v>304</v>
      </c>
      <c r="B46" s="167" t="s">
        <v>289</v>
      </c>
      <c r="C46" s="72"/>
      <c r="D46" s="236"/>
      <c r="E46" s="236"/>
      <c r="F46" s="100"/>
      <c r="G46" s="100"/>
      <c r="H46" s="237"/>
      <c r="I46" s="131" t="s">
        <v>86</v>
      </c>
      <c r="J46" s="280"/>
      <c r="K46" s="283"/>
      <c r="N46" s="284" t="s">
        <v>269</v>
      </c>
      <c r="O46" s="284"/>
      <c r="P46" s="284"/>
      <c r="Q46" s="284"/>
      <c r="R46" s="284"/>
      <c r="S46" s="122" t="str">
        <f t="shared" si="4"/>
        <v>Cumplió</v>
      </c>
      <c r="T46" s="122" t="str">
        <f t="shared" si="0"/>
        <v>N/A</v>
      </c>
      <c r="U46" s="122" t="str">
        <f t="shared" si="1"/>
        <v>N/A</v>
      </c>
      <c r="V46" s="122" t="str">
        <f t="shared" si="2"/>
        <v>N/A</v>
      </c>
      <c r="W46" s="122" t="str">
        <f t="shared" si="3"/>
        <v>N/A</v>
      </c>
    </row>
    <row r="47" spans="1:23" ht="28.5" customHeight="1" x14ac:dyDescent="0.25">
      <c r="A47" s="87" t="s">
        <v>307</v>
      </c>
      <c r="B47" s="167" t="s">
        <v>291</v>
      </c>
      <c r="C47" s="72"/>
      <c r="D47" s="236"/>
      <c r="E47" s="236"/>
      <c r="F47" s="100"/>
      <c r="G47" s="100"/>
      <c r="H47" s="237"/>
      <c r="I47" s="131" t="s">
        <v>124</v>
      </c>
      <c r="J47" s="280"/>
      <c r="K47" s="283"/>
      <c r="N47" s="284" t="s">
        <v>270</v>
      </c>
      <c r="O47" s="284"/>
      <c r="P47" s="284"/>
      <c r="Q47" s="284"/>
      <c r="R47" s="284"/>
      <c r="S47" s="122" t="str">
        <f t="shared" si="4"/>
        <v>Cumplió</v>
      </c>
      <c r="T47" s="122" t="str">
        <f t="shared" si="0"/>
        <v>N/A</v>
      </c>
      <c r="U47" s="122" t="str">
        <f t="shared" si="1"/>
        <v>N/A</v>
      </c>
      <c r="V47" s="122" t="str">
        <f t="shared" si="2"/>
        <v>N/A</v>
      </c>
      <c r="W47" s="122" t="str">
        <f t="shared" si="3"/>
        <v>N/A</v>
      </c>
    </row>
    <row r="48" spans="1:23" ht="30.75" customHeight="1" thickBot="1" x14ac:dyDescent="0.3">
      <c r="D48" s="218"/>
      <c r="E48" s="218"/>
      <c r="F48" s="138"/>
      <c r="G48" s="138"/>
      <c r="H48" s="226"/>
      <c r="I48" s="139" t="s">
        <v>121</v>
      </c>
      <c r="J48" s="281"/>
      <c r="K48" s="222"/>
      <c r="N48" s="284" t="s">
        <v>271</v>
      </c>
      <c r="O48" s="284"/>
      <c r="P48" s="284"/>
      <c r="Q48" s="284"/>
      <c r="R48" s="284"/>
      <c r="S48" s="122" t="str">
        <f t="shared" si="4"/>
        <v>Cumplió</v>
      </c>
      <c r="T48" s="122" t="str">
        <f t="shared" si="0"/>
        <v>N/A</v>
      </c>
      <c r="U48" s="122" t="str">
        <f t="shared" si="1"/>
        <v>N/A</v>
      </c>
      <c r="V48" s="122" t="str">
        <f t="shared" si="2"/>
        <v>N/A</v>
      </c>
      <c r="W48" s="122" t="str">
        <f t="shared" si="3"/>
        <v>N/A</v>
      </c>
    </row>
    <row r="49" spans="1:25" ht="76.5" customHeight="1" x14ac:dyDescent="0.25">
      <c r="A49" s="126" t="s">
        <v>221</v>
      </c>
      <c r="B49" s="161" t="s">
        <v>326</v>
      </c>
      <c r="D49" s="217" t="s">
        <v>226</v>
      </c>
      <c r="E49" s="217"/>
      <c r="F49" s="140"/>
      <c r="G49" s="140"/>
      <c r="H49" s="234" t="s">
        <v>122</v>
      </c>
      <c r="I49" s="141" t="s">
        <v>125</v>
      </c>
      <c r="J49" s="223" t="s">
        <v>348</v>
      </c>
      <c r="K49" s="221" t="s">
        <v>131</v>
      </c>
      <c r="N49" s="284" t="s">
        <v>272</v>
      </c>
      <c r="O49" s="284"/>
      <c r="P49" s="284"/>
      <c r="Q49" s="284"/>
      <c r="R49" s="284"/>
      <c r="S49" s="122" t="str">
        <f t="shared" si="4"/>
        <v>Cumplió</v>
      </c>
      <c r="T49" s="122" t="str">
        <f t="shared" si="0"/>
        <v>N/A</v>
      </c>
      <c r="U49" s="122" t="str">
        <f t="shared" si="1"/>
        <v>N/A</v>
      </c>
      <c r="V49" s="122" t="str">
        <f t="shared" si="2"/>
        <v>N/A</v>
      </c>
      <c r="W49" s="122" t="str">
        <f t="shared" si="3"/>
        <v>N/A</v>
      </c>
      <c r="Y49" s="132"/>
    </row>
    <row r="50" spans="1:25" ht="27" customHeight="1" thickBot="1" x14ac:dyDescent="0.3">
      <c r="A50" s="126" t="s">
        <v>181</v>
      </c>
      <c r="B50" s="135" t="s">
        <v>202</v>
      </c>
      <c r="D50" s="218"/>
      <c r="E50" s="218"/>
      <c r="F50" s="138"/>
      <c r="G50" s="138"/>
      <c r="H50" s="235"/>
      <c r="I50" s="139" t="s">
        <v>123</v>
      </c>
      <c r="J50" s="224"/>
      <c r="K50" s="222"/>
      <c r="N50" s="284" t="s">
        <v>273</v>
      </c>
      <c r="O50" s="284"/>
      <c r="P50" s="284"/>
      <c r="Q50" s="284"/>
      <c r="R50" s="284"/>
      <c r="S50" s="122" t="str">
        <f t="shared" si="4"/>
        <v>Cumplió</v>
      </c>
      <c r="T50" s="122" t="str">
        <f t="shared" si="0"/>
        <v>N/A</v>
      </c>
      <c r="U50" s="122" t="str">
        <f t="shared" si="1"/>
        <v>N/A</v>
      </c>
      <c r="V50" s="122" t="str">
        <f t="shared" si="2"/>
        <v>N/A</v>
      </c>
      <c r="W50" s="122" t="str">
        <f t="shared" si="3"/>
        <v>N/A</v>
      </c>
    </row>
    <row r="51" spans="1:25" ht="45" customHeight="1" x14ac:dyDescent="0.25">
      <c r="A51" s="126" t="s">
        <v>222</v>
      </c>
      <c r="B51" s="136" t="s">
        <v>327</v>
      </c>
      <c r="D51" s="217" t="s">
        <v>241</v>
      </c>
      <c r="E51" s="217"/>
      <c r="F51" s="140"/>
      <c r="G51" s="140"/>
      <c r="H51" s="234" t="s">
        <v>92</v>
      </c>
      <c r="I51" s="225" t="s">
        <v>296</v>
      </c>
      <c r="J51" s="223" t="s">
        <v>349</v>
      </c>
      <c r="K51" s="221" t="s">
        <v>132</v>
      </c>
      <c r="N51" s="284" t="s">
        <v>274</v>
      </c>
      <c r="O51" s="284"/>
      <c r="P51" s="284"/>
      <c r="Q51" s="284"/>
      <c r="R51" s="284"/>
      <c r="S51" s="122" t="str">
        <f>IF(C46="SI","Cumplió","No Requiere")</f>
        <v>No Requiere</v>
      </c>
      <c r="T51" s="122" t="str">
        <f t="shared" si="0"/>
        <v>N/A</v>
      </c>
      <c r="U51" s="122" t="str">
        <f t="shared" si="1"/>
        <v>N/A</v>
      </c>
      <c r="V51" s="122" t="str">
        <f t="shared" si="2"/>
        <v>N/A</v>
      </c>
      <c r="W51" s="122" t="str">
        <f t="shared" si="3"/>
        <v>N/A</v>
      </c>
    </row>
    <row r="52" spans="1:25" ht="44.25" customHeight="1" thickBot="1" x14ac:dyDescent="0.3">
      <c r="B52" s="136" t="s">
        <v>328</v>
      </c>
      <c r="D52" s="218"/>
      <c r="E52" s="218"/>
      <c r="F52" s="138"/>
      <c r="G52" s="138"/>
      <c r="H52" s="235"/>
      <c r="I52" s="226"/>
      <c r="J52" s="224"/>
      <c r="K52" s="222"/>
      <c r="N52"/>
      <c r="O52"/>
      <c r="P52"/>
      <c r="Q52"/>
      <c r="R52"/>
    </row>
    <row r="53" spans="1:25" ht="23.45" customHeight="1" x14ac:dyDescent="0.25">
      <c r="A53" s="126" t="s">
        <v>194</v>
      </c>
      <c r="B53" s="215" t="s">
        <v>329</v>
      </c>
      <c r="D53" s="217" t="s">
        <v>227</v>
      </c>
      <c r="E53" s="217"/>
      <c r="F53" s="140"/>
      <c r="G53" s="140"/>
      <c r="H53" s="227" t="s">
        <v>127</v>
      </c>
      <c r="I53" s="141" t="s">
        <v>93</v>
      </c>
      <c r="J53" s="289" t="str">
        <f>+J51</f>
        <v>16 de junio de 2020</v>
      </c>
      <c r="K53" s="221" t="s">
        <v>133</v>
      </c>
      <c r="N53" s="100"/>
      <c r="O53" s="100"/>
      <c r="P53" s="100"/>
      <c r="Q53" s="100"/>
    </row>
    <row r="54" spans="1:25" ht="26.1" customHeight="1" x14ac:dyDescent="0.25">
      <c r="A54" s="134" t="s">
        <v>220</v>
      </c>
      <c r="B54" s="137" t="s">
        <v>336</v>
      </c>
      <c r="D54" s="236"/>
      <c r="E54" s="236"/>
      <c r="F54" s="100"/>
      <c r="G54" s="100"/>
      <c r="H54" s="285"/>
      <c r="I54" s="131" t="s">
        <v>126</v>
      </c>
      <c r="J54" s="290"/>
      <c r="K54" s="283"/>
    </row>
    <row r="55" spans="1:25" ht="53.25" customHeight="1" thickBot="1" x14ac:dyDescent="0.3">
      <c r="A55" s="126" t="s">
        <v>223</v>
      </c>
      <c r="B55" s="135" t="s">
        <v>330</v>
      </c>
      <c r="D55" s="218"/>
      <c r="E55" s="218"/>
      <c r="F55" s="138"/>
      <c r="G55" s="138"/>
      <c r="H55" s="228"/>
      <c r="I55" s="139" t="s">
        <v>94</v>
      </c>
      <c r="J55" s="291"/>
      <c r="K55" s="222"/>
      <c r="N55" s="295" t="s">
        <v>87</v>
      </c>
      <c r="O55" s="296"/>
      <c r="P55" s="296"/>
      <c r="Q55" s="296"/>
      <c r="R55" s="296"/>
      <c r="S55" s="296"/>
      <c r="T55" s="296"/>
      <c r="U55" s="296"/>
      <c r="V55" s="296"/>
      <c r="W55" s="297"/>
    </row>
    <row r="56" spans="1:25" ht="54" customHeight="1" thickBot="1" x14ac:dyDescent="0.3">
      <c r="A56" s="126" t="s">
        <v>224</v>
      </c>
      <c r="B56" s="135" t="s">
        <v>331</v>
      </c>
      <c r="D56" s="239" t="s">
        <v>242</v>
      </c>
      <c r="E56" s="239"/>
      <c r="F56" s="142"/>
      <c r="G56" s="142"/>
      <c r="H56" s="143" t="s">
        <v>129</v>
      </c>
      <c r="I56" s="144" t="s">
        <v>151</v>
      </c>
      <c r="J56" s="145"/>
      <c r="K56" s="143"/>
      <c r="N56" s="302" t="s">
        <v>88</v>
      </c>
      <c r="O56" s="303"/>
      <c r="P56" s="303"/>
      <c r="Q56" s="304"/>
      <c r="R56" s="146" t="s">
        <v>89</v>
      </c>
      <c r="S56" s="120" t="s">
        <v>57</v>
      </c>
      <c r="T56" s="120" t="s">
        <v>58</v>
      </c>
      <c r="U56" s="120" t="s">
        <v>59</v>
      </c>
      <c r="V56" s="120" t="s">
        <v>60</v>
      </c>
      <c r="W56" s="120" t="s">
        <v>61</v>
      </c>
    </row>
    <row r="57" spans="1:25" ht="27.75" customHeight="1" x14ac:dyDescent="0.25">
      <c r="D57" s="217" t="s">
        <v>227</v>
      </c>
      <c r="E57" s="217"/>
      <c r="F57" s="140"/>
      <c r="G57" s="140"/>
      <c r="H57" s="225" t="s">
        <v>128</v>
      </c>
      <c r="I57" s="225" t="s">
        <v>139</v>
      </c>
      <c r="J57" s="289" t="str">
        <f>+J53</f>
        <v>16 de junio de 2020</v>
      </c>
      <c r="K57" s="221" t="s">
        <v>134</v>
      </c>
      <c r="N57" s="258" t="s">
        <v>90</v>
      </c>
      <c r="O57" s="259"/>
      <c r="P57" s="259"/>
      <c r="Q57" s="260"/>
      <c r="R57" s="177" t="s">
        <v>265</v>
      </c>
      <c r="S57" s="122">
        <f>IF(S38="Cumplió",Z17,IF(S38="No Hábil","No Hábil",S38))</f>
        <v>70</v>
      </c>
      <c r="T57" s="122" t="str">
        <f>IF(T38="Cumplió",Z18,IF(T38="No Hábil","No Hábil",T38))</f>
        <v>N/A</v>
      </c>
      <c r="U57" s="122" t="str">
        <f>IF(U38="Cumplió",Z19,IF(U38="No Hábil","No Hábil",U43))</f>
        <v>N/A</v>
      </c>
      <c r="V57" s="122" t="str">
        <f>IF(V38="Cumplió",Z20,IF(V38="No Hábil","No Hábil",V38))</f>
        <v>N/A</v>
      </c>
      <c r="W57" s="122" t="str">
        <f>IF(W38="Cumplió",Z21,IF(W38="No Hábil","No Hábil",W38))</f>
        <v>N/A</v>
      </c>
    </row>
    <row r="58" spans="1:25" ht="37.5" customHeight="1" thickBot="1" x14ac:dyDescent="0.3">
      <c r="D58" s="218"/>
      <c r="E58" s="218"/>
      <c r="F58" s="138"/>
      <c r="G58" s="138"/>
      <c r="H58" s="226"/>
      <c r="I58" s="226"/>
      <c r="J58" s="291"/>
      <c r="K58" s="222"/>
      <c r="N58" s="298" t="s">
        <v>38</v>
      </c>
      <c r="O58" s="299"/>
      <c r="P58" s="299"/>
      <c r="Q58" s="300"/>
      <c r="R58" s="178" t="s">
        <v>266</v>
      </c>
      <c r="S58" s="149">
        <f>IF(S38="Cumplió",AA17,IF(S38="No Hábil","No Hábil",S38))</f>
        <v>30</v>
      </c>
      <c r="T58" s="149" t="str">
        <f>IF(T38="Cumplió",AA18,IF(T38="No Hábil","No Hábil",T38))</f>
        <v>N/A</v>
      </c>
      <c r="U58" s="149" t="str">
        <f>IF(U38="cumplió",AA19,IF(U38="No Hábil","No Hábil",U38))</f>
        <v>N/A</v>
      </c>
      <c r="V58" s="149" t="str">
        <f>IF(V38="Cumplió",AA20,IF(V38="No Hábil","No Hábil",V38))</f>
        <v>N/A</v>
      </c>
      <c r="W58" s="149" t="str">
        <f>IF(W38="Cumplió",AA21,IF(W38="No Hábil","No Hábil",W38))</f>
        <v>N/A</v>
      </c>
    </row>
    <row r="59" spans="1:25" ht="15.75" customHeight="1" x14ac:dyDescent="0.25">
      <c r="D59" s="217" t="s">
        <v>228</v>
      </c>
      <c r="E59" s="217"/>
      <c r="F59" s="140"/>
      <c r="G59" s="140"/>
      <c r="H59" s="225" t="s">
        <v>95</v>
      </c>
      <c r="I59" s="229" t="s">
        <v>96</v>
      </c>
      <c r="J59" s="223" t="s">
        <v>363</v>
      </c>
      <c r="K59" s="221"/>
      <c r="N59" s="301" t="s">
        <v>91</v>
      </c>
      <c r="O59" s="301"/>
      <c r="P59" s="301"/>
      <c r="Q59" s="301"/>
      <c r="R59" s="147">
        <v>1</v>
      </c>
      <c r="S59" s="148" t="str">
        <f>IF(Y17="si",S57 + S58 &amp;"%",S57)</f>
        <v>100%</v>
      </c>
      <c r="T59" s="148" t="str">
        <f>IF(Y18="si",T57 + T58 &amp;"%",T57)</f>
        <v>N/A</v>
      </c>
      <c r="U59" s="148" t="str">
        <f>IF(Y19="si",U57 + U58 &amp;"%",U57)</f>
        <v>N/A</v>
      </c>
      <c r="V59" s="148" t="str">
        <f>IF(Y20="si",V57 + V58 &amp;"%",V57)</f>
        <v>N/A</v>
      </c>
      <c r="W59" s="148" t="str">
        <f>IF(Y21="si",W57 + W58 &amp;"%",W57)</f>
        <v>N/A</v>
      </c>
    </row>
    <row r="60" spans="1:25" ht="51" customHeight="1" thickBot="1" x14ac:dyDescent="0.3">
      <c r="D60" s="218"/>
      <c r="E60" s="218"/>
      <c r="F60" s="138"/>
      <c r="G60" s="138"/>
      <c r="H60" s="226"/>
      <c r="I60" s="230"/>
      <c r="J60" s="224"/>
      <c r="K60" s="222"/>
      <c r="N60" s="293" t="str">
        <f>+"El oferente con mejor calificación es: "&amp;IF(AC17=AB17,O17,(IF(AC17=AB18,O18,IF(AC17=AB19,O19,IF(AC17=AB20,O20,O21))))) &amp;", con NIT "&amp;IF(AC17=AB17,U17,(IF(AC17=AB18,U18,IF(AC17=AB19,U19,IF(AC17=AB20,U20,U21))))) &amp;", por un valor de $ "&amp;IF(AC17=AB17,W17,(IF(AC17=AB18,W18,IF(AC17=AB19,W19,IF(AC17=AB20,W20,W21))))) &amp;", por concepto de "&amp;Datos!C8&amp;""</f>
        <v>El oferente con mejor calificación es: JOSE ALEXANDER ARBOLEDA CARDONA, con NIT 71,377,271-6, por un valor de $ 1350000, por concepto de Compra de materiales tecnologicos</v>
      </c>
      <c r="O60" s="293"/>
      <c r="P60" s="293"/>
      <c r="Q60" s="293"/>
      <c r="R60" s="293"/>
      <c r="S60" s="293"/>
      <c r="T60" s="293"/>
      <c r="U60" s="293"/>
      <c r="V60" s="293"/>
      <c r="W60" s="293"/>
    </row>
    <row r="61" spans="1:25" ht="20.45" customHeight="1" x14ac:dyDescent="0.25">
      <c r="D61" s="217" t="s">
        <v>229</v>
      </c>
      <c r="E61" s="217"/>
      <c r="F61" s="140"/>
      <c r="G61" s="140"/>
      <c r="H61" s="225" t="s">
        <v>97</v>
      </c>
      <c r="I61" s="229" t="s">
        <v>98</v>
      </c>
      <c r="J61" s="223" t="s">
        <v>360</v>
      </c>
      <c r="K61" s="221"/>
      <c r="N61" s="294"/>
      <c r="O61" s="294"/>
      <c r="P61" s="294"/>
      <c r="Q61" s="294"/>
      <c r="R61" s="294"/>
      <c r="S61" s="294"/>
      <c r="T61" s="294"/>
      <c r="U61" s="294"/>
      <c r="V61" s="294"/>
      <c r="W61" s="294"/>
    </row>
    <row r="62" spans="1:25" ht="38.25" customHeight="1" thickBot="1" x14ac:dyDescent="0.3">
      <c r="D62" s="218"/>
      <c r="E62" s="218"/>
      <c r="F62" s="138"/>
      <c r="G62" s="138"/>
      <c r="H62" s="226"/>
      <c r="I62" s="230"/>
      <c r="J62" s="224"/>
      <c r="K62" s="222"/>
      <c r="N62" s="294"/>
      <c r="O62" s="294"/>
      <c r="P62" s="294"/>
      <c r="Q62" s="294"/>
      <c r="R62" s="294"/>
      <c r="S62" s="294"/>
      <c r="T62" s="294"/>
      <c r="U62" s="294"/>
      <c r="V62" s="294"/>
      <c r="W62" s="294"/>
    </row>
    <row r="63" spans="1:25" ht="35.1" customHeight="1" x14ac:dyDescent="0.25">
      <c r="D63" s="217" t="s">
        <v>230</v>
      </c>
      <c r="E63" s="217"/>
      <c r="F63" s="140"/>
      <c r="G63" s="140"/>
      <c r="H63" s="225" t="s">
        <v>140</v>
      </c>
      <c r="I63" s="141" t="s">
        <v>142</v>
      </c>
      <c r="J63" s="219" t="str">
        <f>J65</f>
        <v>19 de junio de 2020</v>
      </c>
      <c r="K63" s="221" t="s">
        <v>145</v>
      </c>
    </row>
    <row r="64" spans="1:25" ht="45" customHeight="1" thickBot="1" x14ac:dyDescent="0.3">
      <c r="D64" s="218"/>
      <c r="E64" s="218"/>
      <c r="F64" s="138"/>
      <c r="G64" s="138"/>
      <c r="H64" s="226"/>
      <c r="I64" s="139" t="s">
        <v>99</v>
      </c>
      <c r="J64" s="220"/>
      <c r="K64" s="222"/>
      <c r="O64" s="86" t="s">
        <v>323</v>
      </c>
    </row>
    <row r="65" spans="4:13" ht="21" customHeight="1" x14ac:dyDescent="0.25">
      <c r="D65" s="217" t="s">
        <v>231</v>
      </c>
      <c r="E65" s="217"/>
      <c r="F65" s="140"/>
      <c r="G65" s="140"/>
      <c r="H65" s="225" t="s">
        <v>141</v>
      </c>
      <c r="I65" s="227" t="s">
        <v>100</v>
      </c>
      <c r="J65" s="219" t="str">
        <f>+C37</f>
        <v>19 de junio de 2020</v>
      </c>
      <c r="K65" s="221" t="s">
        <v>135</v>
      </c>
    </row>
    <row r="66" spans="4:13" ht="42.75" customHeight="1" thickBot="1" x14ac:dyDescent="0.3">
      <c r="D66" s="218"/>
      <c r="E66" s="218"/>
      <c r="F66" s="138"/>
      <c r="G66" s="138"/>
      <c r="H66" s="226"/>
      <c r="I66" s="228"/>
      <c r="J66" s="220"/>
      <c r="K66" s="222"/>
    </row>
    <row r="68" spans="4:13" x14ac:dyDescent="0.25">
      <c r="H68" s="133"/>
      <c r="J68" s="107"/>
      <c r="K68" s="107"/>
    </row>
    <row r="69" spans="4:13" ht="38.25" customHeight="1" x14ac:dyDescent="0.25">
      <c r="G69" s="183" t="s">
        <v>292</v>
      </c>
      <c r="H69" s="107" t="s">
        <v>146</v>
      </c>
      <c r="I69" s="261" t="s">
        <v>72</v>
      </c>
      <c r="J69" s="262"/>
      <c r="K69" s="262"/>
      <c r="L69" s="262"/>
      <c r="M69" s="263"/>
    </row>
    <row r="70" spans="4:13" x14ac:dyDescent="0.25">
      <c r="G70" s="184">
        <v>715600</v>
      </c>
      <c r="H70" s="84">
        <v>20</v>
      </c>
      <c r="I70" s="286" t="s">
        <v>351</v>
      </c>
      <c r="J70" s="287"/>
      <c r="K70" s="287"/>
      <c r="L70" s="287"/>
      <c r="M70" s="288"/>
    </row>
    <row r="71" spans="4:13" x14ac:dyDescent="0.25">
      <c r="G71" s="184">
        <v>349650</v>
      </c>
      <c r="H71" s="84">
        <v>21</v>
      </c>
      <c r="I71" s="286" t="s">
        <v>352</v>
      </c>
      <c r="J71" s="287"/>
      <c r="K71" s="287"/>
      <c r="L71" s="287"/>
      <c r="M71" s="288"/>
    </row>
    <row r="72" spans="4:13" x14ac:dyDescent="0.25">
      <c r="G72" s="184">
        <v>639023</v>
      </c>
      <c r="H72" s="84">
        <v>1</v>
      </c>
      <c r="I72" s="286" t="s">
        <v>353</v>
      </c>
      <c r="J72" s="287"/>
      <c r="K72" s="287"/>
      <c r="L72" s="287"/>
      <c r="M72" s="288"/>
    </row>
    <row r="73" spans="4:13" x14ac:dyDescent="0.25">
      <c r="G73" s="184"/>
      <c r="H73" s="84"/>
      <c r="I73" s="286"/>
      <c r="J73" s="287"/>
      <c r="K73" s="287"/>
      <c r="L73" s="287"/>
      <c r="M73" s="288"/>
    </row>
    <row r="74" spans="4:13" x14ac:dyDescent="0.25">
      <c r="G74" s="184"/>
      <c r="H74" s="84"/>
      <c r="I74" s="286"/>
      <c r="J74" s="287"/>
      <c r="K74" s="287"/>
      <c r="L74" s="287"/>
      <c r="M74" s="288"/>
    </row>
    <row r="75" spans="4:13" x14ac:dyDescent="0.25">
      <c r="G75" s="184"/>
      <c r="H75" s="84"/>
      <c r="I75" s="286"/>
      <c r="J75" s="287"/>
      <c r="K75" s="287"/>
      <c r="L75" s="287"/>
      <c r="M75" s="288"/>
    </row>
    <row r="76" spans="4:13" x14ac:dyDescent="0.25">
      <c r="G76" s="184"/>
      <c r="H76" s="84"/>
      <c r="I76" s="286"/>
      <c r="J76" s="287"/>
      <c r="K76" s="287"/>
      <c r="L76" s="287"/>
      <c r="M76" s="288"/>
    </row>
    <row r="77" spans="4:13" x14ac:dyDescent="0.25">
      <c r="G77" s="184"/>
      <c r="H77" s="84"/>
      <c r="I77" s="286"/>
      <c r="J77" s="287"/>
      <c r="K77" s="287"/>
      <c r="L77" s="287"/>
      <c r="M77" s="288"/>
    </row>
    <row r="78" spans="4:13" x14ac:dyDescent="0.25">
      <c r="G78" s="184"/>
      <c r="H78" s="84"/>
      <c r="I78" s="286"/>
      <c r="J78" s="287"/>
      <c r="K78" s="287"/>
      <c r="L78" s="287"/>
      <c r="M78" s="288"/>
    </row>
    <row r="79" spans="4:13" x14ac:dyDescent="0.25">
      <c r="G79" s="184"/>
      <c r="H79" s="84"/>
      <c r="I79" s="286"/>
      <c r="J79" s="287"/>
      <c r="K79" s="287"/>
      <c r="L79" s="287"/>
      <c r="M79" s="288"/>
    </row>
    <row r="80" spans="4:13" x14ac:dyDescent="0.25">
      <c r="G80" s="184"/>
      <c r="H80" s="84"/>
      <c r="I80" s="286"/>
      <c r="J80" s="287"/>
      <c r="K80" s="287"/>
      <c r="L80" s="287"/>
      <c r="M80" s="288"/>
    </row>
    <row r="81" spans="7:13" x14ac:dyDescent="0.25">
      <c r="G81" s="184"/>
      <c r="H81" s="84"/>
      <c r="I81" s="286"/>
      <c r="J81" s="287"/>
      <c r="K81" s="287"/>
      <c r="L81" s="287"/>
      <c r="M81" s="288"/>
    </row>
    <row r="82" spans="7:13" x14ac:dyDescent="0.25">
      <c r="G82" s="184"/>
      <c r="H82" s="84"/>
      <c r="I82" s="286"/>
      <c r="J82" s="287"/>
      <c r="K82" s="287"/>
      <c r="L82" s="287"/>
      <c r="M82" s="288"/>
    </row>
    <row r="83" spans="7:13" x14ac:dyDescent="0.25">
      <c r="G83" s="184"/>
      <c r="H83" s="84"/>
      <c r="I83" s="286"/>
      <c r="J83" s="287"/>
      <c r="K83" s="287"/>
      <c r="L83" s="287"/>
      <c r="M83" s="288"/>
    </row>
    <row r="84" spans="7:13" x14ac:dyDescent="0.25">
      <c r="G84" s="184"/>
      <c r="H84" s="84"/>
      <c r="I84" s="286"/>
      <c r="J84" s="287"/>
      <c r="K84" s="287"/>
      <c r="L84" s="287"/>
      <c r="M84" s="288"/>
    </row>
    <row r="85" spans="7:13" x14ac:dyDescent="0.25">
      <c r="G85" s="184"/>
      <c r="H85" s="84"/>
      <c r="I85" s="286"/>
      <c r="J85" s="287"/>
      <c r="K85" s="287"/>
      <c r="L85" s="287"/>
      <c r="M85" s="288"/>
    </row>
    <row r="86" spans="7:13" x14ac:dyDescent="0.25">
      <c r="G86" s="184"/>
      <c r="H86" s="84"/>
      <c r="I86" s="286"/>
      <c r="J86" s="287"/>
      <c r="K86" s="287"/>
      <c r="L86" s="287"/>
      <c r="M86" s="288"/>
    </row>
    <row r="87" spans="7:13" x14ac:dyDescent="0.25">
      <c r="G87" s="184"/>
      <c r="H87" s="84"/>
      <c r="I87" s="286"/>
      <c r="J87" s="287"/>
      <c r="K87" s="287"/>
      <c r="L87" s="287"/>
      <c r="M87" s="288"/>
    </row>
    <row r="88" spans="7:13" x14ac:dyDescent="0.25">
      <c r="G88" s="184"/>
      <c r="H88" s="84"/>
      <c r="I88" s="286"/>
      <c r="J88" s="287"/>
      <c r="K88" s="287"/>
      <c r="L88" s="287"/>
      <c r="M88" s="288"/>
    </row>
    <row r="89" spans="7:13" x14ac:dyDescent="0.25">
      <c r="G89" s="184"/>
      <c r="H89" s="84"/>
      <c r="I89" s="286"/>
      <c r="J89" s="287"/>
      <c r="K89" s="287"/>
      <c r="L89" s="287"/>
      <c r="M89" s="288"/>
    </row>
    <row r="90" spans="7:13" x14ac:dyDescent="0.25">
      <c r="G90" s="184"/>
      <c r="H90" s="84"/>
      <c r="I90" s="286"/>
      <c r="J90" s="287"/>
      <c r="K90" s="287"/>
      <c r="L90" s="287"/>
      <c r="M90" s="288"/>
    </row>
    <row r="91" spans="7:13" x14ac:dyDescent="0.25">
      <c r="G91" s="184"/>
      <c r="H91" s="84"/>
      <c r="I91" s="286"/>
      <c r="J91" s="287"/>
      <c r="K91" s="287"/>
      <c r="L91" s="287"/>
      <c r="M91" s="288"/>
    </row>
    <row r="92" spans="7:13" x14ac:dyDescent="0.25">
      <c r="G92" s="184"/>
      <c r="H92" s="84"/>
      <c r="I92" s="286"/>
      <c r="J92" s="287"/>
      <c r="K92" s="287"/>
      <c r="L92" s="287"/>
      <c r="M92" s="288"/>
    </row>
    <row r="93" spans="7:13" x14ac:dyDescent="0.25">
      <c r="G93" s="184"/>
      <c r="H93" s="84"/>
      <c r="I93" s="286"/>
      <c r="J93" s="287"/>
      <c r="K93" s="287"/>
      <c r="L93" s="287"/>
      <c r="M93" s="288"/>
    </row>
    <row r="94" spans="7:13" x14ac:dyDescent="0.25">
      <c r="G94" s="184"/>
      <c r="H94" s="84"/>
      <c r="I94" s="286"/>
      <c r="J94" s="287"/>
      <c r="K94" s="287"/>
      <c r="L94" s="287"/>
      <c r="M94" s="288"/>
    </row>
    <row r="95" spans="7:13" x14ac:dyDescent="0.25">
      <c r="G95" s="184"/>
      <c r="H95" s="84"/>
      <c r="I95" s="286"/>
      <c r="J95" s="287"/>
      <c r="K95" s="287"/>
      <c r="L95" s="287"/>
      <c r="M95" s="288"/>
    </row>
    <row r="96" spans="7:13" x14ac:dyDescent="0.25">
      <c r="G96" s="184"/>
      <c r="H96" s="84"/>
      <c r="I96" s="286"/>
      <c r="J96" s="287"/>
      <c r="K96" s="287"/>
      <c r="L96" s="287"/>
      <c r="M96" s="288"/>
    </row>
    <row r="97" spans="7:13" ht="15.75" customHeight="1" x14ac:dyDescent="0.25">
      <c r="G97" s="184"/>
      <c r="H97" s="84"/>
      <c r="I97" s="286"/>
      <c r="J97" s="287"/>
      <c r="K97" s="287"/>
      <c r="L97" s="287"/>
      <c r="M97" s="288"/>
    </row>
    <row r="98" spans="7:13" x14ac:dyDescent="0.25">
      <c r="G98" s="184"/>
      <c r="H98" s="84"/>
      <c r="I98" s="286"/>
      <c r="J98" s="287"/>
      <c r="K98" s="287"/>
      <c r="L98" s="287"/>
      <c r="M98" s="288"/>
    </row>
    <row r="99" spans="7:13" x14ac:dyDescent="0.25">
      <c r="G99" s="184"/>
      <c r="H99" s="84"/>
      <c r="I99" s="286"/>
      <c r="J99" s="287"/>
      <c r="K99" s="287"/>
      <c r="L99" s="287"/>
      <c r="M99" s="288"/>
    </row>
    <row r="100" spans="7:13" x14ac:dyDescent="0.25">
      <c r="G100" s="184"/>
      <c r="H100" s="84"/>
      <c r="I100" s="286"/>
      <c r="J100" s="287"/>
      <c r="K100" s="287"/>
      <c r="L100" s="287"/>
      <c r="M100" s="288"/>
    </row>
    <row r="101" spans="7:13" x14ac:dyDescent="0.25">
      <c r="G101" s="184"/>
      <c r="H101" s="84"/>
      <c r="I101" s="286"/>
      <c r="J101" s="287"/>
      <c r="K101" s="287"/>
      <c r="L101" s="287"/>
      <c r="M101" s="288"/>
    </row>
    <row r="102" spans="7:13" x14ac:dyDescent="0.25">
      <c r="G102" s="184"/>
      <c r="H102" s="84"/>
      <c r="I102" s="286"/>
      <c r="J102" s="287"/>
      <c r="K102" s="287"/>
      <c r="L102" s="287"/>
      <c r="M102" s="288"/>
    </row>
    <row r="103" spans="7:13" x14ac:dyDescent="0.25">
      <c r="G103" s="184"/>
      <c r="H103" s="84"/>
      <c r="I103" s="286"/>
      <c r="J103" s="287"/>
      <c r="K103" s="287"/>
      <c r="L103" s="287"/>
      <c r="M103" s="288"/>
    </row>
    <row r="104" spans="7:13" x14ac:dyDescent="0.25">
      <c r="G104" s="184"/>
      <c r="H104" s="84"/>
      <c r="I104" s="286"/>
      <c r="J104" s="287"/>
      <c r="K104" s="287"/>
      <c r="L104" s="287"/>
      <c r="M104" s="288"/>
    </row>
    <row r="105" spans="7:13" x14ac:dyDescent="0.25">
      <c r="G105" s="184"/>
      <c r="H105" s="84"/>
      <c r="I105" s="286"/>
      <c r="J105" s="287"/>
      <c r="K105" s="287"/>
      <c r="L105" s="287"/>
      <c r="M105" s="288"/>
    </row>
    <row r="106" spans="7:13" x14ac:dyDescent="0.25">
      <c r="G106" s="184"/>
      <c r="H106" s="84"/>
      <c r="I106" s="286"/>
      <c r="J106" s="287"/>
      <c r="K106" s="287"/>
      <c r="L106" s="287"/>
      <c r="M106" s="288"/>
    </row>
    <row r="107" spans="7:13" x14ac:dyDescent="0.25">
      <c r="G107" s="184"/>
      <c r="H107" s="84"/>
      <c r="I107" s="286"/>
      <c r="J107" s="287"/>
      <c r="K107" s="287"/>
      <c r="L107" s="287"/>
      <c r="M107" s="288"/>
    </row>
    <row r="108" spans="7:13" x14ac:dyDescent="0.25">
      <c r="G108" s="184"/>
      <c r="H108" s="84"/>
      <c r="I108" s="286"/>
      <c r="J108" s="287"/>
      <c r="K108" s="287"/>
      <c r="L108" s="287"/>
      <c r="M108" s="288"/>
    </row>
    <row r="109" spans="7:13" ht="15" customHeight="1" x14ac:dyDescent="0.25">
      <c r="G109" s="184"/>
      <c r="H109" s="84"/>
      <c r="I109" s="286"/>
      <c r="J109" s="287"/>
      <c r="K109" s="287"/>
      <c r="L109" s="287"/>
      <c r="M109" s="288"/>
    </row>
    <row r="110" spans="7:13" x14ac:dyDescent="0.25">
      <c r="G110" s="184"/>
      <c r="H110" s="84"/>
      <c r="I110" s="286"/>
      <c r="J110" s="287"/>
      <c r="K110" s="287"/>
      <c r="L110" s="287"/>
      <c r="M110" s="288"/>
    </row>
    <row r="111" spans="7:13" x14ac:dyDescent="0.25">
      <c r="G111" s="184"/>
      <c r="H111" s="84"/>
      <c r="I111" s="286"/>
      <c r="J111" s="287"/>
      <c r="K111" s="287"/>
      <c r="L111" s="287"/>
      <c r="M111" s="288"/>
    </row>
    <row r="112" spans="7:13" x14ac:dyDescent="0.25">
      <c r="G112" s="184"/>
      <c r="H112" s="84"/>
      <c r="I112" s="286"/>
      <c r="J112" s="287"/>
      <c r="K112" s="287"/>
      <c r="L112" s="287"/>
      <c r="M112" s="288"/>
    </row>
    <row r="113" spans="7:13" x14ac:dyDescent="0.25">
      <c r="G113" s="184"/>
      <c r="H113" s="84"/>
      <c r="I113" s="286"/>
      <c r="J113" s="287"/>
      <c r="K113" s="287"/>
      <c r="L113" s="287"/>
      <c r="M113" s="288"/>
    </row>
    <row r="114" spans="7:13" x14ac:dyDescent="0.25">
      <c r="G114" s="184"/>
      <c r="H114" s="84"/>
      <c r="I114" s="286"/>
      <c r="J114" s="287"/>
      <c r="K114" s="287"/>
      <c r="L114" s="287"/>
      <c r="M114" s="288"/>
    </row>
    <row r="115" spans="7:13" x14ac:dyDescent="0.25">
      <c r="G115" s="184"/>
      <c r="H115" s="84"/>
      <c r="I115" s="286"/>
      <c r="J115" s="287"/>
      <c r="K115" s="287"/>
      <c r="L115" s="287"/>
      <c r="M115" s="288"/>
    </row>
    <row r="116" spans="7:13" x14ac:dyDescent="0.25">
      <c r="G116" s="184"/>
      <c r="H116" s="84"/>
      <c r="I116" s="286"/>
      <c r="J116" s="287"/>
      <c r="K116" s="287"/>
      <c r="L116" s="287"/>
      <c r="M116" s="288"/>
    </row>
    <row r="117" spans="7:13" x14ac:dyDescent="0.25">
      <c r="G117" s="184"/>
      <c r="H117" s="84"/>
      <c r="I117" s="286"/>
      <c r="J117" s="287"/>
      <c r="K117" s="287"/>
      <c r="L117" s="287"/>
      <c r="M117" s="288"/>
    </row>
    <row r="118" spans="7:13" x14ac:dyDescent="0.25">
      <c r="G118" s="184"/>
      <c r="H118" s="84"/>
      <c r="I118" s="286"/>
      <c r="J118" s="287"/>
      <c r="K118" s="287"/>
      <c r="L118" s="287"/>
      <c r="M118" s="288"/>
    </row>
    <row r="119" spans="7:13" x14ac:dyDescent="0.25">
      <c r="G119" s="184"/>
      <c r="H119" s="84"/>
      <c r="I119" s="286"/>
      <c r="J119" s="287"/>
      <c r="K119" s="287"/>
      <c r="L119" s="287"/>
      <c r="M119" s="288"/>
    </row>
    <row r="120" spans="7:13" x14ac:dyDescent="0.25">
      <c r="G120" s="184"/>
      <c r="H120" s="84"/>
      <c r="I120" s="286"/>
      <c r="J120" s="287"/>
      <c r="K120" s="287"/>
      <c r="L120" s="287"/>
      <c r="M120" s="288"/>
    </row>
    <row r="121" spans="7:13" x14ac:dyDescent="0.25">
      <c r="G121" s="184"/>
      <c r="H121" s="84"/>
      <c r="I121" s="286"/>
      <c r="J121" s="287"/>
      <c r="K121" s="287"/>
      <c r="L121" s="287"/>
      <c r="M121" s="288"/>
    </row>
    <row r="122" spans="7:13" x14ac:dyDescent="0.25">
      <c r="G122" s="184"/>
      <c r="H122" s="84"/>
      <c r="I122" s="286"/>
      <c r="J122" s="287"/>
      <c r="K122" s="287"/>
      <c r="L122" s="287"/>
      <c r="M122" s="288"/>
    </row>
    <row r="123" spans="7:13" x14ac:dyDescent="0.25">
      <c r="G123" s="184"/>
      <c r="H123" s="84"/>
      <c r="I123" s="286"/>
      <c r="J123" s="287"/>
      <c r="K123" s="287"/>
      <c r="L123" s="287"/>
      <c r="M123" s="288"/>
    </row>
    <row r="124" spans="7:13" x14ac:dyDescent="0.25">
      <c r="G124" s="184"/>
      <c r="H124" s="84"/>
      <c r="I124" s="286"/>
      <c r="J124" s="287"/>
      <c r="K124" s="287"/>
      <c r="L124" s="287"/>
      <c r="M124" s="288"/>
    </row>
    <row r="125" spans="7:13" x14ac:dyDescent="0.25">
      <c r="G125" s="184"/>
      <c r="H125" s="84"/>
      <c r="I125" s="286"/>
      <c r="J125" s="287"/>
      <c r="K125" s="287"/>
      <c r="L125" s="287"/>
      <c r="M125" s="288"/>
    </row>
    <row r="126" spans="7:13" x14ac:dyDescent="0.25">
      <c r="G126" s="184"/>
      <c r="H126" s="84"/>
      <c r="I126" s="286"/>
      <c r="J126" s="287"/>
      <c r="K126" s="287"/>
      <c r="L126" s="287"/>
      <c r="M126" s="288"/>
    </row>
    <row r="127" spans="7:13" x14ac:dyDescent="0.25">
      <c r="G127" s="184"/>
      <c r="H127" s="84"/>
      <c r="I127" s="286"/>
      <c r="J127" s="287"/>
      <c r="K127" s="287"/>
      <c r="L127" s="287"/>
      <c r="M127" s="288"/>
    </row>
    <row r="128" spans="7:13" x14ac:dyDescent="0.25">
      <c r="G128" s="184"/>
      <c r="H128" s="84"/>
      <c r="I128" s="286"/>
      <c r="J128" s="287"/>
      <c r="K128" s="287"/>
      <c r="L128" s="287"/>
      <c r="M128" s="288"/>
    </row>
    <row r="129" spans="7:13" x14ac:dyDescent="0.25">
      <c r="G129" s="184"/>
      <c r="H129" s="84"/>
      <c r="I129" s="286"/>
      <c r="J129" s="287"/>
      <c r="K129" s="287"/>
      <c r="L129" s="287"/>
      <c r="M129" s="288"/>
    </row>
    <row r="130" spans="7:13" x14ac:dyDescent="0.25">
      <c r="G130" s="184"/>
      <c r="H130" s="84"/>
      <c r="I130" s="286"/>
      <c r="J130" s="287"/>
      <c r="K130" s="287"/>
      <c r="L130" s="287"/>
      <c r="M130" s="288"/>
    </row>
    <row r="131" spans="7:13" x14ac:dyDescent="0.25">
      <c r="G131" s="184"/>
      <c r="H131" s="84"/>
      <c r="I131" s="286"/>
      <c r="J131" s="287"/>
      <c r="K131" s="287"/>
      <c r="L131" s="287"/>
      <c r="M131" s="288"/>
    </row>
    <row r="132" spans="7:13" x14ac:dyDescent="0.25">
      <c r="G132" s="184"/>
      <c r="H132" s="84"/>
      <c r="I132" s="286"/>
      <c r="J132" s="287"/>
      <c r="K132" s="287"/>
      <c r="L132" s="287"/>
      <c r="M132" s="288"/>
    </row>
    <row r="133" spans="7:13" x14ac:dyDescent="0.25">
      <c r="G133" s="184"/>
      <c r="H133" s="84"/>
      <c r="I133" s="286"/>
      <c r="J133" s="287"/>
      <c r="K133" s="287"/>
      <c r="L133" s="287"/>
      <c r="M133" s="288"/>
    </row>
    <row r="134" spans="7:13" x14ac:dyDescent="0.25">
      <c r="G134" s="184"/>
      <c r="H134" s="84"/>
      <c r="I134" s="286"/>
      <c r="J134" s="287"/>
      <c r="K134" s="287"/>
      <c r="L134" s="287"/>
      <c r="M134" s="288"/>
    </row>
    <row r="135" spans="7:13" x14ac:dyDescent="0.25">
      <c r="G135" s="184"/>
      <c r="H135" s="84"/>
      <c r="I135" s="286"/>
      <c r="J135" s="287"/>
      <c r="K135" s="287"/>
      <c r="L135" s="287"/>
      <c r="M135" s="288"/>
    </row>
    <row r="136" spans="7:13" x14ac:dyDescent="0.25">
      <c r="G136" s="184"/>
      <c r="H136" s="84"/>
      <c r="I136" s="286"/>
      <c r="J136" s="287"/>
      <c r="K136" s="287"/>
      <c r="L136" s="287"/>
      <c r="M136" s="288"/>
    </row>
    <row r="137" spans="7:13" x14ac:dyDescent="0.25">
      <c r="G137" s="184"/>
      <c r="H137" s="84"/>
      <c r="I137" s="286"/>
      <c r="J137" s="287"/>
      <c r="K137" s="287"/>
      <c r="L137" s="287"/>
      <c r="M137" s="288"/>
    </row>
    <row r="138" spans="7:13" x14ac:dyDescent="0.25">
      <c r="G138" s="184"/>
      <c r="H138" s="84"/>
      <c r="I138" s="286"/>
      <c r="J138" s="287"/>
      <c r="K138" s="287"/>
      <c r="L138" s="287"/>
      <c r="M138" s="288"/>
    </row>
    <row r="139" spans="7:13" x14ac:dyDescent="0.25">
      <c r="G139" s="184"/>
      <c r="H139" s="84"/>
      <c r="I139" s="286"/>
      <c r="J139" s="287"/>
      <c r="K139" s="287"/>
      <c r="L139" s="287"/>
      <c r="M139" s="288"/>
    </row>
    <row r="140" spans="7:13" x14ac:dyDescent="0.25">
      <c r="G140" s="184"/>
      <c r="H140" s="84"/>
      <c r="I140" s="286"/>
      <c r="J140" s="287"/>
      <c r="K140" s="287"/>
      <c r="L140" s="287"/>
      <c r="M140" s="288"/>
    </row>
    <row r="141" spans="7:13" x14ac:dyDescent="0.25">
      <c r="G141" s="184"/>
      <c r="H141" s="84"/>
      <c r="I141" s="286"/>
      <c r="J141" s="287"/>
      <c r="K141" s="287"/>
      <c r="L141" s="287"/>
      <c r="M141" s="288"/>
    </row>
    <row r="142" spans="7:13" x14ac:dyDescent="0.25">
      <c r="G142" s="184"/>
      <c r="H142" s="84"/>
      <c r="I142" s="286"/>
      <c r="J142" s="287"/>
      <c r="K142" s="287"/>
      <c r="L142" s="287"/>
      <c r="M142" s="288"/>
    </row>
    <row r="143" spans="7:13" x14ac:dyDescent="0.25">
      <c r="G143" s="184"/>
      <c r="H143" s="84"/>
      <c r="I143" s="286"/>
      <c r="J143" s="287"/>
      <c r="K143" s="287"/>
      <c r="L143" s="287"/>
      <c r="M143" s="288"/>
    </row>
    <row r="144" spans="7:13" x14ac:dyDescent="0.25">
      <c r="G144" s="184"/>
      <c r="H144" s="84"/>
      <c r="I144" s="286"/>
      <c r="J144" s="287"/>
      <c r="K144" s="287"/>
      <c r="L144" s="287"/>
      <c r="M144" s="288"/>
    </row>
    <row r="145" spans="7:13" x14ac:dyDescent="0.25">
      <c r="G145" s="184"/>
      <c r="H145" s="84"/>
      <c r="I145" s="286"/>
      <c r="J145" s="287"/>
      <c r="K145" s="287"/>
      <c r="L145" s="287"/>
      <c r="M145" s="288"/>
    </row>
    <row r="146" spans="7:13" x14ac:dyDescent="0.25">
      <c r="G146" s="184"/>
      <c r="H146" s="84"/>
      <c r="I146" s="286"/>
      <c r="J146" s="287"/>
      <c r="K146" s="287"/>
      <c r="L146" s="287"/>
      <c r="M146" s="288"/>
    </row>
    <row r="147" spans="7:13" x14ac:dyDescent="0.25">
      <c r="G147" s="184"/>
      <c r="H147" s="84"/>
      <c r="I147" s="286"/>
      <c r="J147" s="287"/>
      <c r="K147" s="287"/>
      <c r="L147" s="287"/>
      <c r="M147" s="288"/>
    </row>
    <row r="148" spans="7:13" x14ac:dyDescent="0.25">
      <c r="G148" s="184"/>
      <c r="H148" s="84"/>
      <c r="I148" s="286"/>
      <c r="J148" s="287"/>
      <c r="K148" s="287"/>
      <c r="L148" s="287"/>
      <c r="M148" s="288"/>
    </row>
    <row r="149" spans="7:13" x14ac:dyDescent="0.25">
      <c r="G149" s="184"/>
      <c r="H149" s="84"/>
      <c r="I149" s="286"/>
      <c r="J149" s="287"/>
      <c r="K149" s="287"/>
      <c r="L149" s="287"/>
      <c r="M149" s="288"/>
    </row>
    <row r="150" spans="7:13" x14ac:dyDescent="0.25">
      <c r="G150" s="184"/>
      <c r="H150" s="84"/>
      <c r="I150" s="286"/>
      <c r="J150" s="287"/>
      <c r="K150" s="287"/>
      <c r="L150" s="287"/>
      <c r="M150" s="288"/>
    </row>
    <row r="151" spans="7:13" x14ac:dyDescent="0.25">
      <c r="G151" s="184"/>
      <c r="H151" s="84"/>
      <c r="I151" s="286"/>
      <c r="J151" s="287"/>
      <c r="K151" s="287"/>
      <c r="L151" s="287"/>
      <c r="M151" s="288"/>
    </row>
    <row r="152" spans="7:13" x14ac:dyDescent="0.25">
      <c r="G152" s="184"/>
      <c r="H152" s="84"/>
      <c r="I152" s="286"/>
      <c r="J152" s="287"/>
      <c r="K152" s="287"/>
      <c r="L152" s="287"/>
      <c r="M152" s="288"/>
    </row>
    <row r="153" spans="7:13" x14ac:dyDescent="0.25">
      <c r="G153" s="184"/>
      <c r="H153" s="84"/>
      <c r="I153" s="286"/>
      <c r="J153" s="287"/>
      <c r="K153" s="287"/>
      <c r="L153" s="287"/>
      <c r="M153" s="288"/>
    </row>
    <row r="154" spans="7:13" x14ac:dyDescent="0.25">
      <c r="G154" s="184"/>
      <c r="H154" s="84"/>
      <c r="I154" s="286"/>
      <c r="J154" s="287"/>
      <c r="K154" s="287"/>
      <c r="L154" s="287"/>
      <c r="M154" s="288"/>
    </row>
    <row r="155" spans="7:13" x14ac:dyDescent="0.25">
      <c r="G155" s="184"/>
      <c r="H155" s="84"/>
      <c r="I155" s="286"/>
      <c r="J155" s="287"/>
      <c r="K155" s="287"/>
      <c r="L155" s="287"/>
      <c r="M155" s="288"/>
    </row>
    <row r="156" spans="7:13" x14ac:dyDescent="0.25">
      <c r="G156" s="184"/>
      <c r="H156" s="84"/>
      <c r="I156" s="286"/>
      <c r="J156" s="287"/>
      <c r="K156" s="287"/>
      <c r="L156" s="287"/>
      <c r="M156" s="288"/>
    </row>
    <row r="157" spans="7:13" x14ac:dyDescent="0.25">
      <c r="G157" s="184"/>
      <c r="H157" s="84"/>
      <c r="I157" s="286"/>
      <c r="J157" s="287"/>
      <c r="K157" s="287"/>
      <c r="L157" s="287"/>
      <c r="M157" s="288"/>
    </row>
    <row r="158" spans="7:13" x14ac:dyDescent="0.25">
      <c r="G158" s="184"/>
      <c r="H158" s="84"/>
      <c r="I158" s="286"/>
      <c r="J158" s="287"/>
      <c r="K158" s="287"/>
      <c r="L158" s="287"/>
      <c r="M158" s="288"/>
    </row>
    <row r="159" spans="7:13" x14ac:dyDescent="0.25">
      <c r="G159" s="184"/>
      <c r="H159" s="84"/>
      <c r="I159" s="286"/>
      <c r="J159" s="287"/>
      <c r="K159" s="287"/>
      <c r="L159" s="287"/>
      <c r="M159" s="288"/>
    </row>
    <row r="160" spans="7:13" x14ac:dyDescent="0.25">
      <c r="G160" s="184"/>
      <c r="H160" s="84"/>
      <c r="I160" s="286"/>
      <c r="J160" s="287"/>
      <c r="K160" s="287"/>
      <c r="L160" s="287"/>
      <c r="M160" s="288"/>
    </row>
    <row r="161" spans="7:13" x14ac:dyDescent="0.25">
      <c r="G161" s="184"/>
      <c r="H161" s="84"/>
      <c r="I161" s="286"/>
      <c r="J161" s="287"/>
      <c r="K161" s="287"/>
      <c r="L161" s="287"/>
      <c r="M161" s="288"/>
    </row>
    <row r="162" spans="7:13" x14ac:dyDescent="0.25">
      <c r="G162" s="184"/>
      <c r="H162" s="84"/>
      <c r="I162" s="286"/>
      <c r="J162" s="287"/>
      <c r="K162" s="287"/>
      <c r="L162" s="287"/>
      <c r="M162" s="288"/>
    </row>
    <row r="163" spans="7:13" x14ac:dyDescent="0.25">
      <c r="G163" s="184"/>
      <c r="H163" s="84"/>
      <c r="I163" s="286"/>
      <c r="J163" s="287"/>
      <c r="K163" s="287"/>
      <c r="L163" s="287"/>
      <c r="M163" s="288"/>
    </row>
    <row r="164" spans="7:13" x14ac:dyDescent="0.25">
      <c r="G164" s="184"/>
      <c r="H164" s="84"/>
      <c r="I164" s="286"/>
      <c r="J164" s="287"/>
      <c r="K164" s="287"/>
      <c r="L164" s="287"/>
      <c r="M164" s="288"/>
    </row>
    <row r="165" spans="7:13" x14ac:dyDescent="0.25">
      <c r="G165" s="184"/>
      <c r="H165" s="84"/>
      <c r="I165" s="286"/>
      <c r="J165" s="287"/>
      <c r="K165" s="287"/>
      <c r="L165" s="287"/>
      <c r="M165" s="288"/>
    </row>
    <row r="166" spans="7:13" x14ac:dyDescent="0.25">
      <c r="G166" s="184"/>
      <c r="H166" s="84"/>
      <c r="I166" s="286"/>
      <c r="J166" s="287"/>
      <c r="K166" s="287"/>
      <c r="L166" s="287"/>
      <c r="M166" s="288"/>
    </row>
    <row r="167" spans="7:13" x14ac:dyDescent="0.25">
      <c r="G167" s="184"/>
      <c r="H167" s="84"/>
      <c r="I167" s="286"/>
      <c r="J167" s="287"/>
      <c r="K167" s="287"/>
      <c r="L167" s="287"/>
      <c r="M167" s="288"/>
    </row>
    <row r="168" spans="7:13" x14ac:dyDescent="0.25">
      <c r="G168" s="184"/>
      <c r="H168" s="84"/>
      <c r="I168" s="286"/>
      <c r="J168" s="287"/>
      <c r="K168" s="287"/>
      <c r="L168" s="287"/>
      <c r="M168" s="288"/>
    </row>
    <row r="169" spans="7:13" x14ac:dyDescent="0.25">
      <c r="G169" s="184"/>
      <c r="H169" s="84"/>
      <c r="I169" s="286"/>
      <c r="J169" s="287"/>
      <c r="K169" s="287"/>
      <c r="L169" s="287"/>
      <c r="M169" s="288"/>
    </row>
    <row r="170" spans="7:13" x14ac:dyDescent="0.25">
      <c r="G170" s="184"/>
      <c r="H170" s="84"/>
      <c r="I170" s="286"/>
      <c r="J170" s="287"/>
      <c r="K170" s="287"/>
      <c r="L170" s="287"/>
      <c r="M170" s="288"/>
    </row>
    <row r="171" spans="7:13" x14ac:dyDescent="0.25">
      <c r="G171" s="184"/>
      <c r="H171" s="84"/>
      <c r="I171" s="286"/>
      <c r="J171" s="287"/>
      <c r="K171" s="287"/>
      <c r="L171" s="287"/>
      <c r="M171" s="288"/>
    </row>
    <row r="172" spans="7:13" x14ac:dyDescent="0.25">
      <c r="G172" s="184"/>
      <c r="H172" s="84"/>
      <c r="I172" s="286"/>
      <c r="J172" s="287"/>
      <c r="K172" s="287"/>
      <c r="L172" s="287"/>
      <c r="M172" s="288"/>
    </row>
    <row r="173" spans="7:13" x14ac:dyDescent="0.25">
      <c r="G173" s="184"/>
      <c r="H173" s="84"/>
      <c r="I173" s="286"/>
      <c r="J173" s="287"/>
      <c r="K173" s="287"/>
      <c r="L173" s="287"/>
      <c r="M173" s="288"/>
    </row>
    <row r="174" spans="7:13" x14ac:dyDescent="0.25">
      <c r="G174" s="184"/>
      <c r="H174" s="84"/>
      <c r="I174" s="286"/>
      <c r="J174" s="287"/>
      <c r="K174" s="287"/>
      <c r="L174" s="287"/>
      <c r="M174" s="288"/>
    </row>
    <row r="175" spans="7:13" x14ac:dyDescent="0.25">
      <c r="G175" s="184"/>
      <c r="H175" s="84"/>
      <c r="I175" s="286"/>
      <c r="J175" s="287"/>
      <c r="K175" s="287"/>
      <c r="L175" s="287"/>
      <c r="M175" s="288"/>
    </row>
    <row r="176" spans="7:13" x14ac:dyDescent="0.25">
      <c r="G176" s="184"/>
      <c r="H176" s="84"/>
      <c r="I176" s="286"/>
      <c r="J176" s="287"/>
      <c r="K176" s="287"/>
      <c r="L176" s="287"/>
      <c r="M176" s="288"/>
    </row>
    <row r="177" spans="7:13" x14ac:dyDescent="0.25">
      <c r="G177" s="184"/>
      <c r="H177" s="84"/>
      <c r="I177" s="286"/>
      <c r="J177" s="287"/>
      <c r="K177" s="287"/>
      <c r="L177" s="287"/>
      <c r="M177" s="288"/>
    </row>
    <row r="178" spans="7:13" x14ac:dyDescent="0.25">
      <c r="G178" s="184"/>
      <c r="H178" s="84"/>
      <c r="I178" s="286"/>
      <c r="J178" s="287"/>
      <c r="K178" s="287"/>
      <c r="L178" s="287"/>
      <c r="M178" s="288"/>
    </row>
    <row r="179" spans="7:13" x14ac:dyDescent="0.25">
      <c r="G179" s="184"/>
      <c r="H179" s="84"/>
      <c r="I179" s="286"/>
      <c r="J179" s="287"/>
      <c r="K179" s="287"/>
      <c r="L179" s="287"/>
      <c r="M179" s="288"/>
    </row>
    <row r="180" spans="7:13" x14ac:dyDescent="0.25">
      <c r="G180" s="184"/>
      <c r="H180" s="84"/>
      <c r="I180" s="286"/>
      <c r="J180" s="287"/>
      <c r="K180" s="287"/>
      <c r="L180" s="287"/>
      <c r="M180" s="288"/>
    </row>
    <row r="181" spans="7:13" x14ac:dyDescent="0.25">
      <c r="G181" s="184"/>
      <c r="H181" s="84"/>
      <c r="I181" s="286"/>
      <c r="J181" s="287"/>
      <c r="K181" s="287"/>
      <c r="L181" s="287"/>
      <c r="M181" s="288"/>
    </row>
    <row r="182" spans="7:13" x14ac:dyDescent="0.25">
      <c r="G182" s="184"/>
      <c r="H182" s="84"/>
      <c r="I182" s="286"/>
      <c r="J182" s="287"/>
      <c r="K182" s="287"/>
      <c r="L182" s="287"/>
      <c r="M182" s="288"/>
    </row>
    <row r="183" spans="7:13" x14ac:dyDescent="0.25">
      <c r="G183" s="184"/>
      <c r="H183" s="84"/>
      <c r="I183" s="286"/>
      <c r="J183" s="287"/>
      <c r="K183" s="287"/>
      <c r="L183" s="287"/>
      <c r="M183" s="288"/>
    </row>
    <row r="184" spans="7:13" x14ac:dyDescent="0.25">
      <c r="G184" s="184"/>
      <c r="H184" s="84"/>
      <c r="I184" s="286"/>
      <c r="J184" s="287"/>
      <c r="K184" s="287"/>
      <c r="L184" s="287"/>
      <c r="M184" s="288"/>
    </row>
    <row r="185" spans="7:13" x14ac:dyDescent="0.25">
      <c r="G185" s="184"/>
      <c r="H185" s="84"/>
      <c r="I185" s="286"/>
      <c r="J185" s="287"/>
      <c r="K185" s="287"/>
      <c r="L185" s="287"/>
      <c r="M185" s="288"/>
    </row>
    <row r="186" spans="7:13" x14ac:dyDescent="0.25">
      <c r="G186" s="184"/>
      <c r="H186" s="84"/>
      <c r="I186" s="286"/>
      <c r="J186" s="287"/>
      <c r="K186" s="287"/>
      <c r="L186" s="287"/>
      <c r="M186" s="288"/>
    </row>
    <row r="187" spans="7:13" x14ac:dyDescent="0.25">
      <c r="G187" s="184"/>
      <c r="H187" s="84"/>
      <c r="I187" s="286"/>
      <c r="J187" s="287"/>
      <c r="K187" s="287"/>
      <c r="L187" s="287"/>
      <c r="M187" s="288"/>
    </row>
    <row r="188" spans="7:13" x14ac:dyDescent="0.25">
      <c r="G188" s="184"/>
      <c r="H188" s="84"/>
      <c r="I188" s="286"/>
      <c r="J188" s="287"/>
      <c r="K188" s="287"/>
      <c r="L188" s="287"/>
      <c r="M188" s="288"/>
    </row>
    <row r="189" spans="7:13" x14ac:dyDescent="0.25">
      <c r="G189" s="184"/>
      <c r="H189" s="84"/>
      <c r="I189" s="286"/>
      <c r="J189" s="287"/>
      <c r="K189" s="287"/>
      <c r="L189" s="287"/>
      <c r="M189" s="288"/>
    </row>
    <row r="190" spans="7:13" x14ac:dyDescent="0.25">
      <c r="G190" s="184"/>
      <c r="H190" s="84"/>
      <c r="I190" s="286"/>
      <c r="J190" s="287"/>
      <c r="K190" s="287"/>
      <c r="L190" s="287"/>
      <c r="M190" s="288"/>
    </row>
    <row r="191" spans="7:13" x14ac:dyDescent="0.25">
      <c r="G191" s="184"/>
      <c r="H191" s="84"/>
      <c r="I191" s="286"/>
      <c r="J191" s="287"/>
      <c r="K191" s="287"/>
      <c r="L191" s="287"/>
      <c r="M191" s="288"/>
    </row>
    <row r="192" spans="7:13" x14ac:dyDescent="0.25">
      <c r="G192" s="184"/>
      <c r="H192" s="84"/>
      <c r="I192" s="286"/>
      <c r="J192" s="287"/>
      <c r="K192" s="287"/>
      <c r="L192" s="287"/>
      <c r="M192" s="288"/>
    </row>
    <row r="193" spans="7:13" x14ac:dyDescent="0.25">
      <c r="G193" s="184"/>
      <c r="H193" s="84"/>
      <c r="I193" s="286"/>
      <c r="J193" s="287"/>
      <c r="K193" s="287"/>
      <c r="L193" s="287"/>
      <c r="M193" s="288"/>
    </row>
    <row r="194" spans="7:13" x14ac:dyDescent="0.25">
      <c r="G194" s="184"/>
      <c r="H194" s="84"/>
      <c r="I194" s="286"/>
      <c r="J194" s="287"/>
      <c r="K194" s="287"/>
      <c r="L194" s="287"/>
      <c r="M194" s="288"/>
    </row>
    <row r="195" spans="7:13" x14ac:dyDescent="0.25">
      <c r="G195" s="184"/>
      <c r="H195" s="84"/>
      <c r="I195" s="286"/>
      <c r="J195" s="287"/>
      <c r="K195" s="287"/>
      <c r="L195" s="287"/>
      <c r="M195" s="288"/>
    </row>
    <row r="196" spans="7:13" x14ac:dyDescent="0.25">
      <c r="G196" s="184"/>
      <c r="H196" s="84"/>
      <c r="I196" s="286"/>
      <c r="J196" s="287"/>
      <c r="K196" s="287"/>
      <c r="L196" s="287"/>
      <c r="M196" s="288"/>
    </row>
    <row r="197" spans="7:13" x14ac:dyDescent="0.25">
      <c r="G197" s="184"/>
      <c r="H197" s="84"/>
      <c r="I197" s="286"/>
      <c r="J197" s="287"/>
      <c r="K197" s="287"/>
      <c r="L197" s="287"/>
      <c r="M197" s="288"/>
    </row>
    <row r="198" spans="7:13" x14ac:dyDescent="0.25">
      <c r="G198" s="184"/>
      <c r="H198" s="84"/>
      <c r="I198" s="286"/>
      <c r="J198" s="287"/>
      <c r="K198" s="287"/>
      <c r="L198" s="287"/>
      <c r="M198" s="288"/>
    </row>
    <row r="199" spans="7:13" x14ac:dyDescent="0.25">
      <c r="G199" s="184"/>
      <c r="H199" s="84"/>
      <c r="I199" s="286"/>
      <c r="J199" s="287"/>
      <c r="K199" s="287"/>
      <c r="L199" s="287"/>
      <c r="M199" s="288"/>
    </row>
    <row r="200" spans="7:13" x14ac:dyDescent="0.25">
      <c r="G200" s="184"/>
      <c r="H200" s="84"/>
      <c r="I200" s="286"/>
      <c r="J200" s="287"/>
      <c r="K200" s="287"/>
      <c r="L200" s="287"/>
      <c r="M200" s="288"/>
    </row>
    <row r="201" spans="7:13" x14ac:dyDescent="0.25">
      <c r="G201" s="184"/>
      <c r="H201" s="84"/>
      <c r="I201" s="286"/>
      <c r="J201" s="287"/>
      <c r="K201" s="287"/>
      <c r="L201" s="287"/>
      <c r="M201" s="288"/>
    </row>
    <row r="202" spans="7:13" x14ac:dyDescent="0.25">
      <c r="G202" s="184"/>
      <c r="H202" s="84"/>
      <c r="I202" s="286"/>
      <c r="J202" s="287"/>
      <c r="K202" s="287"/>
      <c r="L202" s="287"/>
      <c r="M202" s="288"/>
    </row>
    <row r="203" spans="7:13" x14ac:dyDescent="0.25">
      <c r="G203" s="184"/>
      <c r="H203" s="84"/>
      <c r="I203" s="286"/>
      <c r="J203" s="287"/>
      <c r="K203" s="287"/>
      <c r="L203" s="287"/>
      <c r="M203" s="288"/>
    </row>
    <row r="204" spans="7:13" x14ac:dyDescent="0.25">
      <c r="G204" s="184"/>
      <c r="H204" s="84"/>
      <c r="I204" s="286"/>
      <c r="J204" s="287"/>
      <c r="K204" s="287"/>
      <c r="L204" s="287"/>
      <c r="M204" s="288"/>
    </row>
    <row r="205" spans="7:13" x14ac:dyDescent="0.25">
      <c r="G205" s="184"/>
      <c r="H205" s="84"/>
      <c r="I205" s="286"/>
      <c r="J205" s="287"/>
      <c r="K205" s="287"/>
      <c r="L205" s="287"/>
      <c r="M205" s="288"/>
    </row>
    <row r="206" spans="7:13" x14ac:dyDescent="0.25">
      <c r="G206" s="184"/>
      <c r="H206" s="84"/>
      <c r="I206" s="286"/>
      <c r="J206" s="287"/>
      <c r="K206" s="287"/>
      <c r="L206" s="287"/>
      <c r="M206" s="288"/>
    </row>
    <row r="207" spans="7:13" x14ac:dyDescent="0.25">
      <c r="G207" s="184"/>
      <c r="H207" s="84"/>
      <c r="I207" s="286"/>
      <c r="J207" s="287"/>
      <c r="K207" s="287"/>
      <c r="L207" s="287"/>
      <c r="M207" s="288"/>
    </row>
    <row r="208" spans="7:13" x14ac:dyDescent="0.25">
      <c r="G208" s="184"/>
      <c r="H208" s="84"/>
      <c r="I208" s="286"/>
      <c r="J208" s="287"/>
      <c r="K208" s="287"/>
      <c r="L208" s="287"/>
      <c r="M208" s="288"/>
    </row>
    <row r="209" spans="7:13" x14ac:dyDescent="0.25">
      <c r="G209" s="184"/>
      <c r="H209" s="84"/>
      <c r="I209" s="286"/>
      <c r="J209" s="287"/>
      <c r="K209" s="287"/>
      <c r="L209" s="287"/>
      <c r="M209" s="288"/>
    </row>
    <row r="210" spans="7:13" x14ac:dyDescent="0.25">
      <c r="G210" s="184"/>
      <c r="H210" s="84"/>
      <c r="I210" s="286"/>
      <c r="J210" s="287"/>
      <c r="K210" s="287"/>
      <c r="L210" s="287"/>
      <c r="M210" s="288"/>
    </row>
    <row r="211" spans="7:13" x14ac:dyDescent="0.25">
      <c r="G211" s="184"/>
      <c r="H211" s="84"/>
      <c r="I211" s="286"/>
      <c r="J211" s="287"/>
      <c r="K211" s="287"/>
      <c r="L211" s="287"/>
      <c r="M211" s="288"/>
    </row>
    <row r="212" spans="7:13" x14ac:dyDescent="0.25">
      <c r="G212" s="184"/>
      <c r="H212" s="84"/>
      <c r="I212" s="286"/>
      <c r="J212" s="287"/>
      <c r="K212" s="287"/>
      <c r="L212" s="287"/>
      <c r="M212" s="288"/>
    </row>
    <row r="213" spans="7:13" x14ac:dyDescent="0.25">
      <c r="G213" s="184"/>
      <c r="H213" s="84"/>
      <c r="I213" s="286"/>
      <c r="J213" s="287"/>
      <c r="K213" s="287"/>
      <c r="L213" s="287"/>
      <c r="M213" s="288"/>
    </row>
    <row r="214" spans="7:13" x14ac:dyDescent="0.25">
      <c r="G214" s="184"/>
      <c r="H214" s="84"/>
      <c r="I214" s="286"/>
      <c r="J214" s="287"/>
      <c r="K214" s="287"/>
      <c r="L214" s="287"/>
      <c r="M214" s="288"/>
    </row>
    <row r="215" spans="7:13" x14ac:dyDescent="0.25">
      <c r="G215" s="184"/>
      <c r="H215" s="84"/>
      <c r="I215" s="286"/>
      <c r="J215" s="287"/>
      <c r="K215" s="287"/>
      <c r="L215" s="287"/>
      <c r="M215" s="288"/>
    </row>
    <row r="216" spans="7:13" x14ac:dyDescent="0.25">
      <c r="G216" s="184"/>
      <c r="H216" s="84"/>
      <c r="I216" s="286"/>
      <c r="J216" s="287"/>
      <c r="K216" s="287"/>
      <c r="L216" s="287"/>
      <c r="M216" s="288"/>
    </row>
    <row r="217" spans="7:13" x14ac:dyDescent="0.25">
      <c r="G217" s="184"/>
      <c r="H217" s="84"/>
      <c r="I217" s="286"/>
      <c r="J217" s="287"/>
      <c r="K217" s="287"/>
      <c r="L217" s="287"/>
      <c r="M217" s="288"/>
    </row>
    <row r="218" spans="7:13" x14ac:dyDescent="0.25">
      <c r="G218" s="184"/>
      <c r="H218" s="84"/>
      <c r="I218" s="286"/>
      <c r="J218" s="287"/>
      <c r="K218" s="287"/>
      <c r="L218" s="287"/>
      <c r="M218" s="288"/>
    </row>
    <row r="219" spans="7:13" x14ac:dyDescent="0.25">
      <c r="G219" s="184"/>
      <c r="H219" s="84"/>
      <c r="I219" s="286"/>
      <c r="J219" s="287"/>
      <c r="K219" s="287"/>
      <c r="L219" s="287"/>
      <c r="M219" s="288"/>
    </row>
    <row r="220" spans="7:13" x14ac:dyDescent="0.25">
      <c r="G220" s="184"/>
      <c r="H220" s="84"/>
      <c r="I220" s="286"/>
      <c r="J220" s="287"/>
      <c r="K220" s="287"/>
      <c r="L220" s="287"/>
      <c r="M220" s="288"/>
    </row>
    <row r="221" spans="7:13" x14ac:dyDescent="0.25">
      <c r="G221" s="184"/>
      <c r="H221" s="84"/>
      <c r="I221" s="286"/>
      <c r="J221" s="287"/>
      <c r="K221" s="287"/>
      <c r="L221" s="287"/>
      <c r="M221" s="288"/>
    </row>
    <row r="222" spans="7:13" x14ac:dyDescent="0.25">
      <c r="G222" s="184"/>
      <c r="H222" s="84"/>
      <c r="I222" s="286"/>
      <c r="J222" s="287"/>
      <c r="K222" s="287"/>
      <c r="L222" s="287"/>
      <c r="M222" s="288"/>
    </row>
    <row r="223" spans="7:13" x14ac:dyDescent="0.25">
      <c r="G223" s="184"/>
      <c r="H223" s="84"/>
      <c r="I223" s="286"/>
      <c r="J223" s="287"/>
      <c r="K223" s="287"/>
      <c r="L223" s="287"/>
      <c r="M223" s="288"/>
    </row>
    <row r="224" spans="7:13" x14ac:dyDescent="0.25">
      <c r="G224" s="184"/>
      <c r="H224" s="84"/>
      <c r="I224" s="286"/>
      <c r="J224" s="287"/>
      <c r="K224" s="287"/>
      <c r="L224" s="287"/>
      <c r="M224" s="288"/>
    </row>
    <row r="225" spans="7:13" x14ac:dyDescent="0.25">
      <c r="G225" s="184"/>
      <c r="H225" s="84"/>
      <c r="I225" s="286"/>
      <c r="J225" s="287"/>
      <c r="K225" s="287"/>
      <c r="L225" s="287"/>
      <c r="M225" s="288"/>
    </row>
    <row r="226" spans="7:13" x14ac:dyDescent="0.25">
      <c r="G226" s="184"/>
      <c r="H226" s="84"/>
      <c r="I226" s="286"/>
      <c r="J226" s="287"/>
      <c r="K226" s="287"/>
      <c r="L226" s="287"/>
      <c r="M226" s="288"/>
    </row>
    <row r="227" spans="7:13" x14ac:dyDescent="0.25">
      <c r="G227" s="184"/>
      <c r="H227" s="84"/>
      <c r="I227" s="286"/>
      <c r="J227" s="287"/>
      <c r="K227" s="287"/>
      <c r="L227" s="287"/>
      <c r="M227" s="288"/>
    </row>
    <row r="228" spans="7:13" x14ac:dyDescent="0.25">
      <c r="G228" s="184"/>
      <c r="H228" s="84"/>
      <c r="I228" s="286"/>
      <c r="J228" s="287"/>
      <c r="K228" s="287"/>
      <c r="L228" s="287"/>
      <c r="M228" s="288"/>
    </row>
    <row r="229" spans="7:13" x14ac:dyDescent="0.25">
      <c r="G229" s="184"/>
      <c r="H229" s="84"/>
      <c r="I229" s="286"/>
      <c r="J229" s="287"/>
      <c r="K229" s="287"/>
      <c r="L229" s="287"/>
      <c r="M229" s="288"/>
    </row>
    <row r="230" spans="7:13" x14ac:dyDescent="0.25">
      <c r="G230" s="184"/>
      <c r="H230" s="84"/>
      <c r="I230" s="286"/>
      <c r="J230" s="287"/>
      <c r="K230" s="287"/>
      <c r="L230" s="287"/>
      <c r="M230" s="288"/>
    </row>
    <row r="231" spans="7:13" x14ac:dyDescent="0.25">
      <c r="G231" s="184"/>
      <c r="H231" s="84"/>
      <c r="I231" s="286"/>
      <c r="J231" s="287"/>
      <c r="K231" s="287"/>
      <c r="L231" s="287"/>
      <c r="M231" s="288"/>
    </row>
    <row r="232" spans="7:13" x14ac:dyDescent="0.25">
      <c r="G232" s="184"/>
      <c r="H232" s="84"/>
      <c r="I232" s="286"/>
      <c r="J232" s="287"/>
      <c r="K232" s="287"/>
      <c r="L232" s="287"/>
      <c r="M232" s="288"/>
    </row>
    <row r="233" spans="7:13" x14ac:dyDescent="0.25">
      <c r="G233" s="184"/>
      <c r="H233" s="84"/>
      <c r="I233" s="286"/>
      <c r="J233" s="287"/>
      <c r="K233" s="287"/>
      <c r="L233" s="287"/>
      <c r="M233" s="288"/>
    </row>
    <row r="234" spans="7:13" x14ac:dyDescent="0.25">
      <c r="G234" s="184"/>
      <c r="H234" s="84"/>
      <c r="I234" s="286"/>
      <c r="J234" s="287"/>
      <c r="K234" s="287"/>
      <c r="L234" s="287"/>
      <c r="M234" s="288"/>
    </row>
    <row r="235" spans="7:13" x14ac:dyDescent="0.25">
      <c r="G235" s="184"/>
      <c r="H235" s="84"/>
      <c r="I235" s="286"/>
      <c r="J235" s="287"/>
      <c r="K235" s="287"/>
      <c r="L235" s="287"/>
      <c r="M235" s="288"/>
    </row>
    <row r="236" spans="7:13" x14ac:dyDescent="0.25">
      <c r="G236" s="184"/>
      <c r="H236" s="84"/>
      <c r="I236" s="286"/>
      <c r="J236" s="287"/>
      <c r="K236" s="287"/>
      <c r="L236" s="287"/>
      <c r="M236" s="288"/>
    </row>
    <row r="237" spans="7:13" x14ac:dyDescent="0.25">
      <c r="G237" s="184"/>
      <c r="H237" s="84"/>
      <c r="I237" s="286"/>
      <c r="J237" s="287"/>
      <c r="K237" s="287"/>
      <c r="L237" s="287"/>
      <c r="M237" s="288"/>
    </row>
    <row r="238" spans="7:13" x14ac:dyDescent="0.25">
      <c r="G238" s="184"/>
      <c r="H238" s="84"/>
      <c r="I238" s="286"/>
      <c r="J238" s="287"/>
      <c r="K238" s="287"/>
      <c r="L238" s="287"/>
      <c r="M238" s="288"/>
    </row>
    <row r="239" spans="7:13" x14ac:dyDescent="0.25">
      <c r="G239" s="184"/>
      <c r="H239" s="84"/>
      <c r="I239" s="286"/>
      <c r="J239" s="287"/>
      <c r="K239" s="287"/>
      <c r="L239" s="287"/>
      <c r="M239" s="288"/>
    </row>
    <row r="240" spans="7:13" x14ac:dyDescent="0.25">
      <c r="G240" s="184"/>
      <c r="H240" s="84"/>
      <c r="I240" s="286"/>
      <c r="J240" s="287"/>
      <c r="K240" s="287"/>
      <c r="L240" s="287"/>
      <c r="M240" s="288"/>
    </row>
    <row r="241" spans="7:13" x14ac:dyDescent="0.25">
      <c r="G241" s="184"/>
      <c r="H241" s="84"/>
      <c r="I241" s="286"/>
      <c r="J241" s="287"/>
      <c r="K241" s="287"/>
      <c r="L241" s="287"/>
      <c r="M241" s="288"/>
    </row>
    <row r="242" spans="7:13" x14ac:dyDescent="0.25">
      <c r="G242" s="184"/>
      <c r="H242" s="84"/>
      <c r="I242" s="286"/>
      <c r="J242" s="287"/>
      <c r="K242" s="287"/>
      <c r="L242" s="287"/>
      <c r="M242" s="288"/>
    </row>
    <row r="243" spans="7:13" x14ac:dyDescent="0.25">
      <c r="G243" s="184"/>
      <c r="H243" s="84"/>
      <c r="I243" s="286"/>
      <c r="J243" s="287"/>
      <c r="K243" s="287"/>
      <c r="L243" s="287"/>
      <c r="M243" s="288"/>
    </row>
    <row r="244" spans="7:13" x14ac:dyDescent="0.25">
      <c r="G244" s="184"/>
      <c r="H244" s="84"/>
      <c r="I244" s="286"/>
      <c r="J244" s="287"/>
      <c r="K244" s="287"/>
      <c r="L244" s="287"/>
      <c r="M244" s="288"/>
    </row>
    <row r="245" spans="7:13" x14ac:dyDescent="0.25">
      <c r="G245" s="184"/>
      <c r="H245" s="84"/>
      <c r="I245" s="286"/>
      <c r="J245" s="287"/>
      <c r="K245" s="287"/>
      <c r="L245" s="287"/>
      <c r="M245" s="288"/>
    </row>
    <row r="246" spans="7:13" x14ac:dyDescent="0.25">
      <c r="G246" s="184"/>
      <c r="H246" s="84"/>
      <c r="I246" s="286"/>
      <c r="J246" s="287"/>
      <c r="K246" s="287"/>
      <c r="L246" s="287"/>
      <c r="M246" s="288"/>
    </row>
    <row r="247" spans="7:13" x14ac:dyDescent="0.25">
      <c r="G247" s="184"/>
      <c r="H247" s="84"/>
      <c r="I247" s="286"/>
      <c r="J247" s="287"/>
      <c r="K247" s="287"/>
      <c r="L247" s="287"/>
      <c r="M247" s="288"/>
    </row>
    <row r="248" spans="7:13" x14ac:dyDescent="0.25">
      <c r="G248" s="184"/>
      <c r="H248" s="84"/>
      <c r="I248" s="286"/>
      <c r="J248" s="287"/>
      <c r="K248" s="287"/>
      <c r="L248" s="287"/>
      <c r="M248" s="288"/>
    </row>
    <row r="249" spans="7:13" x14ac:dyDescent="0.25">
      <c r="G249" s="184"/>
      <c r="H249" s="84"/>
      <c r="I249" s="286"/>
      <c r="J249" s="287"/>
      <c r="K249" s="287"/>
      <c r="L249" s="287"/>
      <c r="M249" s="288"/>
    </row>
    <row r="250" spans="7:13" x14ac:dyDescent="0.25">
      <c r="G250" s="184"/>
      <c r="H250" s="84"/>
      <c r="I250" s="286"/>
      <c r="J250" s="287"/>
      <c r="K250" s="287"/>
      <c r="L250" s="287"/>
      <c r="M250" s="288"/>
    </row>
    <row r="251" spans="7:13" x14ac:dyDescent="0.25">
      <c r="G251" s="184"/>
      <c r="H251" s="84"/>
      <c r="I251" s="286"/>
      <c r="J251" s="287"/>
      <c r="K251" s="287"/>
      <c r="L251" s="287"/>
      <c r="M251" s="288"/>
    </row>
    <row r="252" spans="7:13" x14ac:dyDescent="0.25">
      <c r="G252" s="184"/>
      <c r="H252" s="84"/>
      <c r="I252" s="286"/>
      <c r="J252" s="287"/>
      <c r="K252" s="287"/>
      <c r="L252" s="287"/>
      <c r="M252" s="288"/>
    </row>
    <row r="253" spans="7:13" x14ac:dyDescent="0.25">
      <c r="G253" s="184"/>
      <c r="H253" s="84"/>
      <c r="I253" s="286"/>
      <c r="J253" s="287"/>
      <c r="K253" s="287"/>
      <c r="L253" s="287"/>
      <c r="M253" s="288"/>
    </row>
  </sheetData>
  <sheetProtection sheet="1" objects="1" scenarios="1"/>
  <mergeCells count="286">
    <mergeCell ref="I237:M237"/>
    <mergeCell ref="I238:M238"/>
    <mergeCell ref="I239:M239"/>
    <mergeCell ref="I240:M240"/>
    <mergeCell ref="I241:M241"/>
    <mergeCell ref="I242:M242"/>
    <mergeCell ref="I249:M249"/>
    <mergeCell ref="I250:M250"/>
    <mergeCell ref="I228:M228"/>
    <mergeCell ref="I229:M229"/>
    <mergeCell ref="I230:M230"/>
    <mergeCell ref="I231:M231"/>
    <mergeCell ref="I232:M232"/>
    <mergeCell ref="I233:M233"/>
    <mergeCell ref="I234:M234"/>
    <mergeCell ref="I235:M235"/>
    <mergeCell ref="I236:M236"/>
    <mergeCell ref="I251:M251"/>
    <mergeCell ref="I252:M252"/>
    <mergeCell ref="I253:M253"/>
    <mergeCell ref="I243:M243"/>
    <mergeCell ref="I244:M244"/>
    <mergeCell ref="I245:M245"/>
    <mergeCell ref="I246:M246"/>
    <mergeCell ref="I247:M247"/>
    <mergeCell ref="I248:M248"/>
    <mergeCell ref="N24:W24"/>
    <mergeCell ref="N49:R49"/>
    <mergeCell ref="N50:R50"/>
    <mergeCell ref="N51:R51"/>
    <mergeCell ref="N60:W62"/>
    <mergeCell ref="O25:T25"/>
    <mergeCell ref="U25:V25"/>
    <mergeCell ref="O26:T26"/>
    <mergeCell ref="U26:V26"/>
    <mergeCell ref="O27:T27"/>
    <mergeCell ref="U27:V27"/>
    <mergeCell ref="O28:T28"/>
    <mergeCell ref="U28:V28"/>
    <mergeCell ref="O29:T29"/>
    <mergeCell ref="U29:V29"/>
    <mergeCell ref="N55:W55"/>
    <mergeCell ref="N48:R48"/>
    <mergeCell ref="N43:R43"/>
    <mergeCell ref="N58:Q58"/>
    <mergeCell ref="N59:Q59"/>
    <mergeCell ref="N45:R45"/>
    <mergeCell ref="N46:R46"/>
    <mergeCell ref="N47:R47"/>
    <mergeCell ref="N56:Q56"/>
    <mergeCell ref="I219:M219"/>
    <mergeCell ref="I220:M220"/>
    <mergeCell ref="I221:M221"/>
    <mergeCell ref="I222:M222"/>
    <mergeCell ref="I223:M223"/>
    <mergeCell ref="I224:M224"/>
    <mergeCell ref="I225:M225"/>
    <mergeCell ref="I226:M226"/>
    <mergeCell ref="I227:M227"/>
    <mergeCell ref="I210:M210"/>
    <mergeCell ref="I211:M211"/>
    <mergeCell ref="I212:M212"/>
    <mergeCell ref="I213:M213"/>
    <mergeCell ref="I214:M214"/>
    <mergeCell ref="I215:M215"/>
    <mergeCell ref="I216:M216"/>
    <mergeCell ref="I217:M217"/>
    <mergeCell ref="I218:M218"/>
    <mergeCell ref="I201:M201"/>
    <mergeCell ref="I202:M202"/>
    <mergeCell ref="I203:M203"/>
    <mergeCell ref="I204:M204"/>
    <mergeCell ref="I205:M205"/>
    <mergeCell ref="I206:M206"/>
    <mergeCell ref="I207:M207"/>
    <mergeCell ref="I208:M208"/>
    <mergeCell ref="I209:M209"/>
    <mergeCell ref="I192:M192"/>
    <mergeCell ref="I193:M193"/>
    <mergeCell ref="I194:M194"/>
    <mergeCell ref="I195:M195"/>
    <mergeCell ref="I196:M196"/>
    <mergeCell ref="I197:M197"/>
    <mergeCell ref="I198:M198"/>
    <mergeCell ref="I199:M199"/>
    <mergeCell ref="I200:M200"/>
    <mergeCell ref="I183:M183"/>
    <mergeCell ref="I184:M184"/>
    <mergeCell ref="I185:M185"/>
    <mergeCell ref="I186:M186"/>
    <mergeCell ref="I187:M187"/>
    <mergeCell ref="I188:M188"/>
    <mergeCell ref="I189:M189"/>
    <mergeCell ref="I190:M190"/>
    <mergeCell ref="I191:M191"/>
    <mergeCell ref="I174:M174"/>
    <mergeCell ref="I175:M175"/>
    <mergeCell ref="I176:M176"/>
    <mergeCell ref="I177:M177"/>
    <mergeCell ref="I178:M178"/>
    <mergeCell ref="I179:M179"/>
    <mergeCell ref="I180:M180"/>
    <mergeCell ref="I181:M181"/>
    <mergeCell ref="I182:M182"/>
    <mergeCell ref="I165:M165"/>
    <mergeCell ref="I166:M166"/>
    <mergeCell ref="I167:M167"/>
    <mergeCell ref="I168:M168"/>
    <mergeCell ref="I169:M169"/>
    <mergeCell ref="I170:M170"/>
    <mergeCell ref="I171:M171"/>
    <mergeCell ref="I172:M172"/>
    <mergeCell ref="I173:M173"/>
    <mergeCell ref="I156:M156"/>
    <mergeCell ref="I157:M157"/>
    <mergeCell ref="I158:M158"/>
    <mergeCell ref="I159:M159"/>
    <mergeCell ref="I160:M160"/>
    <mergeCell ref="I161:M161"/>
    <mergeCell ref="I162:M162"/>
    <mergeCell ref="I163:M163"/>
    <mergeCell ref="I164:M164"/>
    <mergeCell ref="I147:M147"/>
    <mergeCell ref="I148:M148"/>
    <mergeCell ref="I149:M149"/>
    <mergeCell ref="I150:M150"/>
    <mergeCell ref="I151:M151"/>
    <mergeCell ref="I152:M152"/>
    <mergeCell ref="I153:M153"/>
    <mergeCell ref="I154:M154"/>
    <mergeCell ref="I155:M155"/>
    <mergeCell ref="I138:M138"/>
    <mergeCell ref="I139:M139"/>
    <mergeCell ref="I140:M140"/>
    <mergeCell ref="I141:M141"/>
    <mergeCell ref="I142:M142"/>
    <mergeCell ref="I143:M143"/>
    <mergeCell ref="I144:M144"/>
    <mergeCell ref="I145:M145"/>
    <mergeCell ref="I146:M146"/>
    <mergeCell ref="I129:M129"/>
    <mergeCell ref="I130:M130"/>
    <mergeCell ref="I131:M131"/>
    <mergeCell ref="I132:M132"/>
    <mergeCell ref="I133:M133"/>
    <mergeCell ref="I134:M134"/>
    <mergeCell ref="I135:M135"/>
    <mergeCell ref="I136:M136"/>
    <mergeCell ref="I137:M137"/>
    <mergeCell ref="I120:M120"/>
    <mergeCell ref="I121:M121"/>
    <mergeCell ref="I122:M122"/>
    <mergeCell ref="I123:M123"/>
    <mergeCell ref="I124:M124"/>
    <mergeCell ref="I125:M125"/>
    <mergeCell ref="I126:M126"/>
    <mergeCell ref="I127:M127"/>
    <mergeCell ref="I128:M128"/>
    <mergeCell ref="I111:M111"/>
    <mergeCell ref="I112:M112"/>
    <mergeCell ref="I113:M113"/>
    <mergeCell ref="I114:M114"/>
    <mergeCell ref="I115:M115"/>
    <mergeCell ref="I116:M116"/>
    <mergeCell ref="I117:M117"/>
    <mergeCell ref="I118:M118"/>
    <mergeCell ref="I119:M119"/>
    <mergeCell ref="I102:M102"/>
    <mergeCell ref="I103:M103"/>
    <mergeCell ref="I104:M104"/>
    <mergeCell ref="I105:M105"/>
    <mergeCell ref="I106:M106"/>
    <mergeCell ref="I107:M107"/>
    <mergeCell ref="I108:M108"/>
    <mergeCell ref="I109:M109"/>
    <mergeCell ref="I110:M110"/>
    <mergeCell ref="I93:M93"/>
    <mergeCell ref="I94:M94"/>
    <mergeCell ref="I95:M95"/>
    <mergeCell ref="I96:M96"/>
    <mergeCell ref="I97:M97"/>
    <mergeCell ref="I98:M98"/>
    <mergeCell ref="I99:M99"/>
    <mergeCell ref="I100:M100"/>
    <mergeCell ref="I101:M101"/>
    <mergeCell ref="I84:M84"/>
    <mergeCell ref="I85:M85"/>
    <mergeCell ref="I86:M86"/>
    <mergeCell ref="I87:M87"/>
    <mergeCell ref="I88:M88"/>
    <mergeCell ref="I89:M89"/>
    <mergeCell ref="I90:M90"/>
    <mergeCell ref="I91:M91"/>
    <mergeCell ref="I92:M92"/>
    <mergeCell ref="I75:M75"/>
    <mergeCell ref="I76:M76"/>
    <mergeCell ref="I77:M77"/>
    <mergeCell ref="I78:M78"/>
    <mergeCell ref="I79:M79"/>
    <mergeCell ref="I80:M80"/>
    <mergeCell ref="I81:M81"/>
    <mergeCell ref="I82:M82"/>
    <mergeCell ref="I83:M83"/>
    <mergeCell ref="H53:H55"/>
    <mergeCell ref="H61:H62"/>
    <mergeCell ref="I61:I62"/>
    <mergeCell ref="I70:M70"/>
    <mergeCell ref="I69:M69"/>
    <mergeCell ref="I71:M71"/>
    <mergeCell ref="I72:M72"/>
    <mergeCell ref="I73:M73"/>
    <mergeCell ref="I74:M74"/>
    <mergeCell ref="J53:J55"/>
    <mergeCell ref="K53:K55"/>
    <mergeCell ref="J57:J58"/>
    <mergeCell ref="K57:K58"/>
    <mergeCell ref="N57:Q57"/>
    <mergeCell ref="N36:W36"/>
    <mergeCell ref="N37:R37"/>
    <mergeCell ref="N38:R39"/>
    <mergeCell ref="S39:W39"/>
    <mergeCell ref="N41:W41"/>
    <mergeCell ref="N42:R42"/>
    <mergeCell ref="J45:J48"/>
    <mergeCell ref="K45:K48"/>
    <mergeCell ref="J51:J52"/>
    <mergeCell ref="K51:K52"/>
    <mergeCell ref="N44:R44"/>
    <mergeCell ref="N15:AC15"/>
    <mergeCell ref="G16:H16"/>
    <mergeCell ref="O16:T16"/>
    <mergeCell ref="U16:V16"/>
    <mergeCell ref="AC17:AC21"/>
    <mergeCell ref="G18:H18"/>
    <mergeCell ref="O18:T18"/>
    <mergeCell ref="U18:V18"/>
    <mergeCell ref="O19:T19"/>
    <mergeCell ref="U19:V19"/>
    <mergeCell ref="O20:T20"/>
    <mergeCell ref="G17:H17"/>
    <mergeCell ref="O17:T17"/>
    <mergeCell ref="U17:V17"/>
    <mergeCell ref="U20:V20"/>
    <mergeCell ref="O21:T21"/>
    <mergeCell ref="U21:V21"/>
    <mergeCell ref="A2:C2"/>
    <mergeCell ref="G14:H14"/>
    <mergeCell ref="G15:H15"/>
    <mergeCell ref="J49:J50"/>
    <mergeCell ref="H49:H50"/>
    <mergeCell ref="D45:E48"/>
    <mergeCell ref="D49:E50"/>
    <mergeCell ref="D51:E52"/>
    <mergeCell ref="D57:E58"/>
    <mergeCell ref="H45:H48"/>
    <mergeCell ref="H43:K43"/>
    <mergeCell ref="D53:E55"/>
    <mergeCell ref="D56:E56"/>
    <mergeCell ref="E8:I8"/>
    <mergeCell ref="E2:I2"/>
    <mergeCell ref="E3:I3"/>
    <mergeCell ref="E4:I4"/>
    <mergeCell ref="E5:I5"/>
    <mergeCell ref="E6:I6"/>
    <mergeCell ref="K49:K50"/>
    <mergeCell ref="H51:H52"/>
    <mergeCell ref="I51:I52"/>
    <mergeCell ref="H57:H58"/>
    <mergeCell ref="I57:I58"/>
    <mergeCell ref="D59:E60"/>
    <mergeCell ref="D63:E64"/>
    <mergeCell ref="D61:E62"/>
    <mergeCell ref="D65:E66"/>
    <mergeCell ref="J65:J66"/>
    <mergeCell ref="K65:K66"/>
    <mergeCell ref="J59:J60"/>
    <mergeCell ref="K59:K60"/>
    <mergeCell ref="J61:J62"/>
    <mergeCell ref="K61:K62"/>
    <mergeCell ref="J63:J64"/>
    <mergeCell ref="K63:K64"/>
    <mergeCell ref="H65:H66"/>
    <mergeCell ref="I65:I66"/>
    <mergeCell ref="H63:H64"/>
    <mergeCell ref="H59:H60"/>
    <mergeCell ref="I59:I6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view="pageLayout" topLeftCell="A13" zoomScaleNormal="85" workbookViewId="0">
      <selection activeCell="D18" sqref="D18"/>
    </sheetView>
  </sheetViews>
  <sheetFormatPr baseColWidth="10" defaultRowHeight="15" x14ac:dyDescent="0.25"/>
  <cols>
    <col min="1" max="1" width="12.28515625" bestFit="1" customWidth="1"/>
    <col min="2" max="2" width="12.5703125" bestFit="1" customWidth="1"/>
    <col min="3" max="3" width="14.140625" customWidth="1"/>
    <col min="4" max="4" width="36.42578125" customWidth="1"/>
    <col min="5" max="6" width="14.85546875" customWidth="1"/>
  </cols>
  <sheetData>
    <row r="1" spans="1:6" ht="15.75" x14ac:dyDescent="0.25">
      <c r="A1" s="379" t="s">
        <v>217</v>
      </c>
      <c r="B1" s="379"/>
      <c r="C1" s="379"/>
      <c r="D1" s="379"/>
      <c r="E1" s="379"/>
      <c r="F1" s="379"/>
    </row>
    <row r="3" spans="1:6" x14ac:dyDescent="0.25">
      <c r="A3" s="411" t="str">
        <f>+"Medellín, "&amp;Datos!C36&amp;""</f>
        <v>Medellín, 23 de junio de 2020</v>
      </c>
      <c r="B3" s="411"/>
      <c r="C3" s="411"/>
      <c r="D3" s="411"/>
      <c r="E3" s="411"/>
      <c r="F3" s="411"/>
    </row>
    <row r="5" spans="1:6" ht="31.5" customHeight="1" x14ac:dyDescent="0.25">
      <c r="A5" s="311" t="str">
        <f>+"La Rectoría de la Institución certifica que "&amp;Datos!C6&amp;", identificado con NIT. "&amp;Datos!C7&amp;", entregó a satisfacción los siguientes artículos o servicios:"</f>
        <v>La Rectoría de la Institución certifica que JOSE ALEXANDER ARBOLEDA CARDONA, identificado con NIT. 71,377,271-6, entregó a satisfacción los siguientes artículos o servicios:</v>
      </c>
      <c r="B5" s="311"/>
      <c r="C5" s="311"/>
      <c r="D5" s="311"/>
      <c r="E5" s="311"/>
      <c r="F5" s="311"/>
    </row>
    <row r="7" spans="1:6" ht="30" x14ac:dyDescent="0.25">
      <c r="A7" s="181" t="str">
        <f>Datos!H69</f>
        <v>CANTIDADES</v>
      </c>
      <c r="B7" s="308" t="str">
        <f>Datos!I69</f>
        <v>DETALLE</v>
      </c>
      <c r="C7" s="309"/>
      <c r="D7" s="310"/>
      <c r="E7" s="180" t="s">
        <v>292</v>
      </c>
      <c r="F7" s="180" t="s">
        <v>293</v>
      </c>
    </row>
    <row r="8" spans="1:6" x14ac:dyDescent="0.25">
      <c r="A8" s="182">
        <f>IF(ISBLANK(Datos!H70),"",Datos!H70)</f>
        <v>20</v>
      </c>
      <c r="B8" s="428" t="str">
        <f>IF(ISBLANK(Datos!I70),"",Datos!I70)</f>
        <v>COMBO TECLADO Y MAUSE ALAMBRICO</v>
      </c>
      <c r="C8" s="429"/>
      <c r="D8" s="430"/>
      <c r="E8" s="185">
        <f>IF(ISBLANK(Datos!G70),"",Datos!G70)</f>
        <v>715600</v>
      </c>
      <c r="F8" s="185">
        <f>IF(E8="","",IF(A8="",E8,A8*E8))</f>
        <v>14312000</v>
      </c>
    </row>
    <row r="9" spans="1:6" ht="15" customHeight="1" x14ac:dyDescent="0.25">
      <c r="A9" s="182">
        <f>IF(ISBLANK(Datos!H71),"",Datos!H71)</f>
        <v>21</v>
      </c>
      <c r="B9" s="428" t="str">
        <f>IF(ISBLANK(Datos!I71),"",Datos!I71)</f>
        <v>DIADEMA PARA SONIDO</v>
      </c>
      <c r="C9" s="429"/>
      <c r="D9" s="430"/>
      <c r="E9" s="185">
        <f>IF(ISBLANK(Datos!G71),"",Datos!G71)</f>
        <v>349650</v>
      </c>
      <c r="F9" s="185">
        <f t="shared" ref="F9:F10" si="0">IF(E9="","",IF(A9="",E9,A9*E9))</f>
        <v>7342650</v>
      </c>
    </row>
    <row r="10" spans="1:6" ht="14.45" customHeight="1" x14ac:dyDescent="0.25">
      <c r="A10" s="182">
        <f>IF(ISBLANK(Datos!H72),"",Datos!H72)</f>
        <v>1</v>
      </c>
      <c r="B10" s="428" t="str">
        <f>IF(ISBLANK(Datos!I72),"",Datos!I72)</f>
        <v>BASE PARA VIDEO BEAM</v>
      </c>
      <c r="C10" s="429"/>
      <c r="D10" s="430"/>
      <c r="E10" s="185">
        <f>IF(ISBLANK(Datos!G72),"",Datos!G72)</f>
        <v>639023</v>
      </c>
      <c r="F10" s="185">
        <f t="shared" si="0"/>
        <v>639023</v>
      </c>
    </row>
    <row r="11" spans="1:6" x14ac:dyDescent="0.25">
      <c r="E11" s="187" t="s">
        <v>26</v>
      </c>
      <c r="F11" s="185">
        <f>Datos!I15</f>
        <v>215547</v>
      </c>
    </row>
    <row r="14" spans="1:6" ht="28.5" customHeight="1" x14ac:dyDescent="0.25">
      <c r="A14" s="411" t="str">
        <f>+"Por un valor total de "&amp;Datos!C11&amp;" ($"&amp;Datos!C9&amp;")"</f>
        <v>Por un valor total de Un millon trescientos cincuenta mil pesos M/L ($1350000)</v>
      </c>
      <c r="B14" s="411"/>
      <c r="C14" s="411"/>
      <c r="D14" s="411"/>
      <c r="E14" s="411"/>
      <c r="F14" s="411"/>
    </row>
    <row r="20" spans="3:6" ht="33" customHeight="1" x14ac:dyDescent="0.25">
      <c r="C20" s="186"/>
      <c r="D20" s="179" t="str">
        <f>+Datos!B51</f>
        <v>CARLOS MARIO GIRALDO JIMENEZ
Rector</v>
      </c>
      <c r="E20" s="186"/>
      <c r="F20" s="25"/>
    </row>
  </sheetData>
  <mergeCells count="8">
    <mergeCell ref="A1:F1"/>
    <mergeCell ref="A3:F3"/>
    <mergeCell ref="A5:F5"/>
    <mergeCell ref="A14:F14"/>
    <mergeCell ref="B7:D7"/>
    <mergeCell ref="B8:D8"/>
    <mergeCell ref="B9:D9"/>
    <mergeCell ref="B10:D10"/>
  </mergeCells>
  <pageMargins left="0.7" right="0.7" top="1.5052083333333333" bottom="1.0164583333333332" header="0.3" footer="0.3"/>
  <pageSetup scale="86" orientation="portrait" r:id="rId1"/>
  <headerFooter>
    <oddHeader>&amp;C&amp;G</oddHeader>
    <oddFooter>&amp;C&amp;G
Página &amp;P de &amp;N&amp;RRecibo a Satisfacción</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Layout" topLeftCell="A25" zoomScaleNormal="100" workbookViewId="0">
      <selection activeCell="B30" sqref="A30:D34"/>
    </sheetView>
  </sheetViews>
  <sheetFormatPr baseColWidth="10" defaultRowHeight="15" x14ac:dyDescent="0.25"/>
  <cols>
    <col min="3" max="3" width="6.5703125" customWidth="1"/>
    <col min="7" max="7" width="15.42578125" customWidth="1"/>
    <col min="8" max="8" width="16" customWidth="1"/>
  </cols>
  <sheetData>
    <row r="1" spans="1:8" ht="15.75" x14ac:dyDescent="0.25">
      <c r="A1" s="379" t="s">
        <v>218</v>
      </c>
      <c r="B1" s="379"/>
      <c r="C1" s="379"/>
      <c r="D1" s="379"/>
      <c r="E1" s="379"/>
      <c r="F1" s="379"/>
      <c r="G1" s="379"/>
      <c r="H1" s="379"/>
    </row>
    <row r="2" spans="1:8" ht="12" customHeight="1" x14ac:dyDescent="0.25"/>
    <row r="3" spans="1:8" x14ac:dyDescent="0.25">
      <c r="A3" s="431" t="s">
        <v>158</v>
      </c>
      <c r="B3" s="431"/>
      <c r="C3" s="431"/>
      <c r="D3" s="437" t="str">
        <f>+"No. C."&amp;Datos!C35&amp;""</f>
        <v>No. C.007- 06-2020</v>
      </c>
      <c r="E3" s="437"/>
      <c r="F3" s="437"/>
      <c r="G3" s="437"/>
      <c r="H3" s="437"/>
    </row>
    <row r="4" spans="1:8" x14ac:dyDescent="0.25">
      <c r="A4" s="431" t="s">
        <v>159</v>
      </c>
      <c r="B4" s="431"/>
      <c r="C4" s="431"/>
      <c r="D4" s="437" t="str">
        <f>+Datos!B49</f>
        <v>INSTITUCIÓN EDUCATIVA JOAQUIN VALLEJO ARBELAEZ</v>
      </c>
      <c r="E4" s="437"/>
      <c r="F4" s="437"/>
      <c r="G4" s="437"/>
      <c r="H4" s="437"/>
    </row>
    <row r="5" spans="1:8" x14ac:dyDescent="0.25">
      <c r="A5" s="431" t="s">
        <v>160</v>
      </c>
      <c r="B5" s="431"/>
      <c r="C5" s="431"/>
      <c r="D5" s="438" t="str">
        <f>Datos!C6</f>
        <v>JOSE ALEXANDER ARBOLEDA CARDONA</v>
      </c>
      <c r="E5" s="439"/>
      <c r="F5" s="439"/>
      <c r="G5" s="439"/>
      <c r="H5" s="439"/>
    </row>
    <row r="6" spans="1:8" x14ac:dyDescent="0.25">
      <c r="A6" s="431" t="s">
        <v>161</v>
      </c>
      <c r="B6" s="431"/>
      <c r="C6" s="431"/>
      <c r="D6" s="434" t="str">
        <f>Datos!C8</f>
        <v>Compra de materiales tecnologicos</v>
      </c>
      <c r="E6" s="435"/>
      <c r="F6" s="435"/>
      <c r="G6" s="435"/>
      <c r="H6" s="436"/>
    </row>
    <row r="7" spans="1:8" x14ac:dyDescent="0.25">
      <c r="A7" s="431" t="s">
        <v>219</v>
      </c>
      <c r="B7" s="431"/>
      <c r="C7" s="431"/>
      <c r="D7" s="437" t="str">
        <f>+"Entre "&amp;Datos!C37&amp;" y "&amp;Datos!C38&amp;""</f>
        <v>Entre 19 de junio de 2020 y 23 de junio de 2020</v>
      </c>
      <c r="E7" s="437"/>
      <c r="F7" s="437"/>
      <c r="G7" s="437"/>
      <c r="H7" s="437"/>
    </row>
    <row r="8" spans="1:8" x14ac:dyDescent="0.25">
      <c r="A8" s="431" t="s">
        <v>34</v>
      </c>
      <c r="B8" s="431"/>
      <c r="C8" s="431"/>
      <c r="D8" s="432">
        <f>Datos!C9</f>
        <v>1350000</v>
      </c>
      <c r="E8" s="432"/>
      <c r="F8" s="432"/>
      <c r="G8" s="432"/>
      <c r="H8" s="432"/>
    </row>
    <row r="9" spans="1:8" ht="9" customHeight="1" x14ac:dyDescent="0.25">
      <c r="A9" s="4"/>
      <c r="B9" s="4"/>
      <c r="C9" s="4"/>
      <c r="D9" s="4"/>
      <c r="E9" s="4"/>
      <c r="F9" s="4"/>
      <c r="G9" s="4"/>
      <c r="H9" s="4"/>
    </row>
    <row r="10" spans="1:8" ht="33" customHeight="1" x14ac:dyDescent="0.25">
      <c r="A10" s="311" t="str">
        <f>+"En la "&amp;Datos!B49&amp;", las partes suscritas en el Contrato No. C. "&amp;Datos!C35&amp;", hemos decido DAR POR LIQUIDADO EL MISMO en fecha "&amp;Datos!C43&amp;", previas las siguientes"</f>
        <v>En la INSTITUCIÓN EDUCATIVA JOAQUIN VALLEJO ARBELAEZ, las partes suscritas en el Contrato No. C. 007- 06-2020, hemos decido DAR POR LIQUIDADO EL MISMO en fecha 23 de junio de 2020, previas las siguientes</v>
      </c>
      <c r="B10" s="311"/>
      <c r="C10" s="311"/>
      <c r="D10" s="311"/>
      <c r="E10" s="311"/>
      <c r="F10" s="311"/>
      <c r="G10" s="311"/>
      <c r="H10" s="311"/>
    </row>
    <row r="11" spans="1:8" ht="11.25" customHeight="1" x14ac:dyDescent="0.25">
      <c r="A11" s="30"/>
      <c r="B11" s="30"/>
      <c r="C11" s="30"/>
      <c r="D11" s="30"/>
      <c r="E11" s="30"/>
      <c r="F11" s="30"/>
      <c r="G11" s="30"/>
      <c r="H11" s="30"/>
    </row>
    <row r="12" spans="1:8" x14ac:dyDescent="0.25">
      <c r="A12" s="331" t="s">
        <v>167</v>
      </c>
      <c r="B12" s="331"/>
      <c r="C12" s="331"/>
      <c r="D12" s="331"/>
      <c r="E12" s="331"/>
      <c r="F12" s="331"/>
      <c r="G12" s="331"/>
      <c r="H12" s="331"/>
    </row>
    <row r="13" spans="1:8" ht="6.75" customHeight="1" x14ac:dyDescent="0.25">
      <c r="A13" s="32"/>
      <c r="B13" s="32"/>
      <c r="C13" s="32"/>
      <c r="D13" s="32"/>
      <c r="E13" s="32"/>
      <c r="F13" s="32"/>
      <c r="G13" s="32"/>
      <c r="H13" s="32"/>
    </row>
    <row r="14" spans="1:8" ht="28.5" customHeight="1" x14ac:dyDescent="0.25">
      <c r="A14" s="328" t="str">
        <f>+"PRIMERO: Que entre las partes se suscribió el contrato de "&amp;Datos!C8&amp;"  con una vigencia inicial de "&amp;Datos!C21&amp;"."</f>
        <v>PRIMERO: Que entre las partes se suscribió el contrato de Compra de materiales tecnologicos  con una vigencia inicial de 4 dias.</v>
      </c>
      <c r="B14" s="328"/>
      <c r="C14" s="328"/>
      <c r="D14" s="328"/>
      <c r="E14" s="328"/>
      <c r="F14" s="328"/>
      <c r="G14" s="328"/>
      <c r="H14" s="328"/>
    </row>
    <row r="15" spans="1:8" ht="12.75" customHeight="1" x14ac:dyDescent="0.25">
      <c r="A15" s="45"/>
      <c r="B15" s="45"/>
      <c r="C15" s="45"/>
      <c r="D15" s="45"/>
      <c r="E15" s="45"/>
      <c r="F15" s="45"/>
      <c r="G15" s="45"/>
      <c r="H15" s="45"/>
    </row>
    <row r="16" spans="1:8" x14ac:dyDescent="0.25">
      <c r="A16" s="328" t="s">
        <v>168</v>
      </c>
      <c r="B16" s="328"/>
      <c r="C16" s="328"/>
      <c r="D16" s="328"/>
      <c r="E16" s="328"/>
      <c r="F16" s="328"/>
      <c r="G16" s="328"/>
      <c r="H16" s="328"/>
    </row>
    <row r="17" spans="1:8" ht="6" customHeight="1" x14ac:dyDescent="0.25">
      <c r="A17" s="31"/>
      <c r="B17" s="31"/>
      <c r="C17" s="31"/>
      <c r="D17" s="31"/>
      <c r="E17" s="31"/>
      <c r="F17" s="31"/>
      <c r="G17" s="31"/>
      <c r="H17" s="31"/>
    </row>
    <row r="18" spans="1:8" x14ac:dyDescent="0.25">
      <c r="A18" s="331" t="s">
        <v>169</v>
      </c>
      <c r="B18" s="331"/>
      <c r="C18" s="331"/>
      <c r="D18" s="331"/>
      <c r="E18" s="331"/>
      <c r="F18" s="331"/>
      <c r="G18" s="331"/>
      <c r="H18" s="331"/>
    </row>
    <row r="19" spans="1:8" ht="3.75" customHeight="1" x14ac:dyDescent="0.25">
      <c r="A19" s="32"/>
      <c r="B19" s="32"/>
      <c r="C19" s="32"/>
      <c r="D19" s="32"/>
      <c r="E19" s="32"/>
      <c r="F19" s="32"/>
      <c r="G19" s="32"/>
      <c r="H19" s="32"/>
    </row>
    <row r="20" spans="1:8" ht="108" customHeight="1" x14ac:dyDescent="0.25">
      <c r="A20" s="311" t="str">
        <f>+"PRIMERO: Liquidar de común acuerdo,  el contrato de "&amp;Datos!C8&amp;".
VALOR CONTRATADO:     $"&amp;Datos!C9&amp;"         
VALOR EJECUTADO:          $"&amp;Datos!C9&amp;"           
VALOR PAGADO:                $ "&amp;Datos!K18&amp;"
VALOR RETENIDO:             $ "&amp;Datos!K17&amp;"
VALOR NO EJECUTADO:  $ 0"</f>
        <v>PRIMERO: Liquidar de común acuerdo,  el contrato de Compra de materiales tecnologicos.
VALOR CONTRATADO:     $1350000         
VALOR EJECUTADO:          $1350000           
VALOR PAGADO:                $ 1290000
VALOR RETENIDO:             $ 60000
VALOR NO EJECUTADO:  $ 0</v>
      </c>
      <c r="B20" s="311"/>
      <c r="C20" s="311"/>
      <c r="D20" s="311"/>
      <c r="E20" s="311"/>
      <c r="F20" s="311"/>
      <c r="G20" s="311"/>
      <c r="H20" s="311"/>
    </row>
    <row r="21" spans="1:8" ht="9" customHeight="1" x14ac:dyDescent="0.25">
      <c r="A21" s="44"/>
      <c r="B21" s="44"/>
      <c r="C21" s="44"/>
      <c r="D21" s="44"/>
      <c r="E21" s="44"/>
      <c r="F21" s="44"/>
      <c r="G21" s="44"/>
      <c r="H21" s="44"/>
    </row>
    <row r="22" spans="1:8" ht="32.25" customHeight="1" x14ac:dyDescent="0.25">
      <c r="A22" s="311" t="str">
        <f>+"SEGUNDO: En consideración del numeral anterior, el contratista  se encuentra a paz y salvo  con la "&amp;Datos!B49&amp;""</f>
        <v>SEGUNDO: En consideración del numeral anterior, el contratista  se encuentra a paz y salvo  con la INSTITUCIÓN EDUCATIVA JOAQUIN VALLEJO ARBELAEZ</v>
      </c>
      <c r="B22" s="311"/>
      <c r="C22" s="311"/>
      <c r="D22" s="311"/>
      <c r="E22" s="311"/>
      <c r="F22" s="311"/>
      <c r="G22" s="311"/>
      <c r="H22" s="311"/>
    </row>
    <row r="23" spans="1:8" ht="10.5" customHeight="1" x14ac:dyDescent="0.25">
      <c r="A23" s="44"/>
      <c r="B23" s="44"/>
      <c r="C23" s="44"/>
      <c r="D23" s="44"/>
      <c r="E23" s="44"/>
      <c r="F23" s="44"/>
      <c r="G23" s="44"/>
      <c r="H23" s="44"/>
    </row>
    <row r="24" spans="1:8" ht="45.75" customHeight="1" x14ac:dyDescent="0.25">
      <c r="A24" s="311" t="str">
        <f>+"TERCERA: Dado el cumplimiento del CONTRATO DE "&amp;Datos!C8&amp;", las partes de común acuerdo dan por terminado y liquidado el contrato, declarando que se encuentran  satisfechas y renuncian a reclamaciones administrativas o judiciales derivadas del mismo. "</f>
        <v xml:space="preserve">TERCERA: Dado el cumplimiento del CONTRATO DE Compra de materiales tecnologicos, las partes de común acuerdo dan por terminado y liquidado el contrato, declarando que se encuentran  satisfechas y renuncian a reclamaciones administrativas o judiciales derivadas del mismo. </v>
      </c>
      <c r="B24" s="311"/>
      <c r="C24" s="311"/>
      <c r="D24" s="311"/>
      <c r="E24" s="311"/>
      <c r="F24" s="311"/>
      <c r="G24" s="311"/>
      <c r="H24" s="311"/>
    </row>
    <row r="25" spans="1:8" ht="9" customHeight="1" x14ac:dyDescent="0.25"/>
    <row r="26" spans="1:8" ht="16.5" customHeight="1" x14ac:dyDescent="0.25">
      <c r="A26" s="411" t="str">
        <f>+"Para constancia, se firma el "&amp;Datos!C43&amp;", por quienes en ella intervinieron."</f>
        <v>Para constancia, se firma el 23 de junio de 2020, por quienes en ella intervinieron.</v>
      </c>
      <c r="B26" s="411"/>
      <c r="C26" s="411"/>
      <c r="D26" s="411"/>
      <c r="E26" s="411"/>
      <c r="F26" s="411"/>
      <c r="G26" s="411"/>
      <c r="H26" s="411"/>
    </row>
    <row r="28" spans="1:8" ht="15" customHeight="1" x14ac:dyDescent="0.25">
      <c r="A28" s="433" t="s">
        <v>154</v>
      </c>
      <c r="B28" s="433"/>
      <c r="C28" s="433"/>
      <c r="D28" s="433"/>
      <c r="E28" s="25"/>
      <c r="F28" s="422" t="s">
        <v>155</v>
      </c>
      <c r="G28" s="422"/>
      <c r="H28" s="422"/>
    </row>
    <row r="29" spans="1:8" ht="15" customHeight="1" x14ac:dyDescent="0.25">
      <c r="A29" s="67"/>
      <c r="B29" s="67"/>
      <c r="C29" s="66"/>
      <c r="D29" s="66"/>
      <c r="E29" s="25"/>
      <c r="F29" s="68"/>
      <c r="G29" s="68"/>
      <c r="H29" s="68"/>
    </row>
    <row r="30" spans="1:8" ht="15" customHeight="1" x14ac:dyDescent="0.25">
      <c r="A30" s="67"/>
      <c r="B30" s="67"/>
      <c r="C30" s="66"/>
      <c r="D30" s="66"/>
      <c r="E30" s="25"/>
      <c r="F30" s="68"/>
      <c r="G30" s="68"/>
      <c r="H30" s="68"/>
    </row>
    <row r="31" spans="1:8" x14ac:dyDescent="0.25">
      <c r="A31" s="45"/>
      <c r="B31" s="45"/>
      <c r="C31" s="45"/>
      <c r="D31" s="45"/>
      <c r="E31" s="45"/>
      <c r="G31" s="45"/>
      <c r="H31" s="45"/>
    </row>
    <row r="32" spans="1:8" x14ac:dyDescent="0.25">
      <c r="A32" s="423" t="str">
        <f>+Datos!B51</f>
        <v>CARLOS MARIO GIRALDO JIMENEZ
Rector</v>
      </c>
      <c r="B32" s="423"/>
      <c r="C32" s="423"/>
      <c r="D32" s="423"/>
      <c r="E32" s="65"/>
      <c r="F32" s="440" t="str">
        <f>+""&amp;Datos!C3&amp;"      "</f>
        <v xml:space="preserve">JOSE ALEXANDER ARBOLEDA CARDONA      </v>
      </c>
      <c r="G32" s="440"/>
      <c r="H32" s="440"/>
    </row>
    <row r="33" spans="1:8" x14ac:dyDescent="0.25">
      <c r="A33" s="424"/>
      <c r="B33" s="424"/>
      <c r="C33" s="424"/>
      <c r="D33" s="424"/>
      <c r="E33" s="65"/>
      <c r="F33" s="442" t="str">
        <f>+"C.C."&amp;Datos!C4&amp;""</f>
        <v>C.C.71.377.271</v>
      </c>
      <c r="G33" s="442"/>
      <c r="H33" s="442"/>
    </row>
    <row r="34" spans="1:8" ht="28.5" customHeight="1" x14ac:dyDescent="0.25">
      <c r="A34" s="441" t="str">
        <f>+"C.C."&amp;Datos!B53&amp;""</f>
        <v>C.C.71.661.819</v>
      </c>
      <c r="B34" s="441"/>
      <c r="C34" s="441"/>
      <c r="D34" s="441"/>
      <c r="E34" s="65"/>
      <c r="F34" s="421" t="str">
        <f>+"Representante legal de "&amp;Datos!C6&amp;""</f>
        <v>Representante legal de JOSE ALEXANDER ARBOLEDA CARDONA</v>
      </c>
      <c r="G34" s="421"/>
      <c r="H34" s="421"/>
    </row>
  </sheetData>
  <mergeCells count="29">
    <mergeCell ref="F34:H34"/>
    <mergeCell ref="A32:D33"/>
    <mergeCell ref="F32:H32"/>
    <mergeCell ref="A34:D34"/>
    <mergeCell ref="F33:H33"/>
    <mergeCell ref="A1:H1"/>
    <mergeCell ref="A28:D28"/>
    <mergeCell ref="F28:H28"/>
    <mergeCell ref="A6:C6"/>
    <mergeCell ref="D6:H6"/>
    <mergeCell ref="A10:H10"/>
    <mergeCell ref="A3:C3"/>
    <mergeCell ref="D3:H3"/>
    <mergeCell ref="A4:C4"/>
    <mergeCell ref="D4:H4"/>
    <mergeCell ref="A5:C5"/>
    <mergeCell ref="D5:H5"/>
    <mergeCell ref="A16:H16"/>
    <mergeCell ref="A18:H18"/>
    <mergeCell ref="A7:C7"/>
    <mergeCell ref="D7:H7"/>
    <mergeCell ref="A22:H22"/>
    <mergeCell ref="A24:H24"/>
    <mergeCell ref="A26:H26"/>
    <mergeCell ref="A8:C8"/>
    <mergeCell ref="D8:H8"/>
    <mergeCell ref="A12:H12"/>
    <mergeCell ref="A14:H14"/>
    <mergeCell ref="A20:H20"/>
  </mergeCells>
  <pageMargins left="0.7817708333333333" right="0.46875" top="1.7416666666666667" bottom="1.0588541666666667" header="0.35433070866141736" footer="0.19791666666666666"/>
  <pageSetup scale="95" orientation="portrait" r:id="rId1"/>
  <headerFooter>
    <oddHeader>&amp;C&amp;G</oddHeader>
    <oddFooter>&amp;C&amp;G
Página &amp;P de &amp;N&amp;RActa Liquidación de Contrato</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topLeftCell="A35" zoomScaleNormal="100" workbookViewId="0">
      <selection activeCell="E43" sqref="D43:F45"/>
    </sheetView>
  </sheetViews>
  <sheetFormatPr baseColWidth="10" defaultRowHeight="15" x14ac:dyDescent="0.25"/>
  <cols>
    <col min="8" max="8" width="15.5703125" customWidth="1"/>
  </cols>
  <sheetData>
    <row r="1" spans="1:8" x14ac:dyDescent="0.25">
      <c r="A1" s="322" t="str">
        <f>+" "&amp;Datos!B19&amp;"  "&amp;Datos!C19&amp;""</f>
        <v xml:space="preserve"> ESTUDIOS PREVIOS No. EP.   007- 06-2020</v>
      </c>
      <c r="B1" s="322"/>
      <c r="C1" s="322"/>
      <c r="D1" s="322"/>
      <c r="E1" s="322"/>
      <c r="F1" s="322"/>
      <c r="G1" s="322"/>
      <c r="H1" s="322"/>
    </row>
    <row r="2" spans="1:8" x14ac:dyDescent="0.25">
      <c r="A2" s="324" t="str">
        <f>+"Fecha: "&amp;Datos!J45&amp;" "</f>
        <v xml:space="preserve">Fecha: 27 de marzo de 2020 </v>
      </c>
      <c r="B2" s="324"/>
      <c r="C2" s="324"/>
      <c r="D2" s="324"/>
      <c r="E2" s="324"/>
      <c r="F2" s="324"/>
      <c r="G2" s="324"/>
      <c r="H2" s="324"/>
    </row>
    <row r="3" spans="1:8" ht="10.5" customHeight="1" x14ac:dyDescent="0.25"/>
    <row r="4" spans="1:8" ht="141.75" customHeight="1" x14ac:dyDescent="0.25">
      <c r="A4" s="326" t="str">
        <f>+"DEFINICIÓN DE LA NECESIDAD: La Institución Educativa debe garantizar la continuidad en el servicio educativo que presta "&amp;Datos!O64&amp;"; siendo  esencial: "&amp;Datos!E8&amp;". Estos materiales y/o servicios están acordes con las necesidades priorizadas y requerimientos establecidos en la modificación al plan general de compras para el normal funcionamiento de la entidad."</f>
        <v>DEFINICIÓN DE LA NECESIDAD: La Institución Educativa debe garantizar la continuidad en el servicio educativo que presta aun durante el Estado de Emergencia declarado según el Decreto 457 del 22 de marzo de 2020, por medio del cual se imparten instruccciones en virtud de la Emergencia Sanitaria generada por la pandemia del Coronavirus COVID-19 y el mantenimiento del orden público (Aislamiento Preventivo Obligatorio); siendo  esencial: Compra de materiales tecnológicos los cuales son necesarios para el correcto funcionamiento de los equipos de computo, utilizados para la realizacion de actividades académicas y ludicas con los estudiantes, lo cual permite tener espacios diferentes de aprendizaje y mejorar el nivel académico. Con esto se benefician todos los estudiantes de la institucion. . Estos materiales y/o servicios están acordes con las necesidades priorizadas y requerimientos establecidos en la modificación al plan general de compras para el normal funcionamiento de la entidad.</v>
      </c>
      <c r="B4" s="326"/>
      <c r="C4" s="326"/>
      <c r="D4" s="326"/>
      <c r="E4" s="326"/>
      <c r="F4" s="326"/>
      <c r="G4" s="326"/>
      <c r="H4" s="326"/>
    </row>
    <row r="5" spans="1:8" x14ac:dyDescent="0.25">
      <c r="A5" s="152"/>
      <c r="B5" s="152"/>
      <c r="C5" s="152"/>
      <c r="D5" s="152"/>
      <c r="E5" s="152"/>
      <c r="F5" s="152"/>
      <c r="G5" s="152"/>
      <c r="H5" s="152"/>
    </row>
    <row r="6" spans="1:8" ht="21.75" customHeight="1" x14ac:dyDescent="0.25">
      <c r="A6" s="323" t="str">
        <f>+"OBJETO A CONTRATAR: "&amp;Datos!C8&amp;". "</f>
        <v xml:space="preserve">OBJETO A CONTRATAR: Compra de materiales tecnologicos. </v>
      </c>
      <c r="B6" s="323"/>
      <c r="C6" s="323"/>
      <c r="D6" s="323"/>
      <c r="E6" s="323"/>
      <c r="F6" s="323"/>
      <c r="G6" s="323"/>
      <c r="H6" s="323"/>
    </row>
    <row r="7" spans="1:8" x14ac:dyDescent="0.25">
      <c r="A7" s="152"/>
      <c r="B7" s="152"/>
      <c r="C7" s="152"/>
      <c r="D7" s="152"/>
      <c r="E7" s="152"/>
      <c r="F7" s="152"/>
      <c r="G7" s="152"/>
      <c r="H7" s="152"/>
    </row>
    <row r="8" spans="1:8" ht="32.25" customHeight="1" x14ac:dyDescent="0.25">
      <c r="A8" s="311" t="s">
        <v>235</v>
      </c>
      <c r="B8" s="311"/>
      <c r="C8" s="311"/>
      <c r="D8" s="311"/>
      <c r="E8" s="311"/>
      <c r="F8" s="311"/>
      <c r="G8" s="311"/>
      <c r="H8" s="311"/>
    </row>
    <row r="9" spans="1:8" x14ac:dyDescent="0.25">
      <c r="A9" s="37"/>
      <c r="B9" s="37"/>
      <c r="C9" s="37"/>
      <c r="D9" s="37"/>
      <c r="E9" s="37"/>
      <c r="F9" s="37"/>
      <c r="G9" s="37"/>
      <c r="H9" s="37"/>
    </row>
    <row r="10" spans="1:8" ht="13.5" customHeight="1" x14ac:dyDescent="0.25">
      <c r="A10" s="307" t="str">
        <f>Datos!H69</f>
        <v>CANTIDADES</v>
      </c>
      <c r="B10" s="307"/>
      <c r="C10" s="307" t="str">
        <f>Datos!I69</f>
        <v>DETALLE</v>
      </c>
      <c r="D10" s="307"/>
      <c r="E10" s="307"/>
      <c r="F10" s="307"/>
      <c r="G10" s="307"/>
      <c r="H10" s="307"/>
    </row>
    <row r="11" spans="1:8" ht="13.5" customHeight="1" x14ac:dyDescent="0.25">
      <c r="A11" s="325">
        <f>IF(ISBLANK(Datos!H70),"",Datos!H70)</f>
        <v>20</v>
      </c>
      <c r="B11" s="325"/>
      <c r="C11" s="305" t="str">
        <f>IF(ISBLANK(Datos!I70),"",Datos!I70)</f>
        <v>COMBO TECLADO Y MAUSE ALAMBRICO</v>
      </c>
      <c r="D11" s="305"/>
      <c r="E11" s="305"/>
      <c r="F11" s="305"/>
      <c r="G11" s="305"/>
      <c r="H11" s="305"/>
    </row>
    <row r="12" spans="1:8" ht="15" customHeight="1" x14ac:dyDescent="0.25">
      <c r="A12" s="325">
        <f>IF(ISBLANK(Datos!H71),"",Datos!H71)</f>
        <v>21</v>
      </c>
      <c r="B12" s="325"/>
      <c r="C12" s="305" t="str">
        <f>IF(ISBLANK(Datos!I71),"",Datos!I71)</f>
        <v>DIADEMA PARA SONIDO</v>
      </c>
      <c r="D12" s="305"/>
      <c r="E12" s="305"/>
      <c r="F12" s="305"/>
      <c r="G12" s="305"/>
      <c r="H12" s="305"/>
    </row>
    <row r="13" spans="1:8" ht="15" customHeight="1" x14ac:dyDescent="0.25">
      <c r="A13" s="325">
        <f>IF(ISBLANK(Datos!H72),"",Datos!H72)</f>
        <v>1</v>
      </c>
      <c r="B13" s="325"/>
      <c r="C13" s="305" t="str">
        <f>IF(ISBLANK(Datos!I72),"",Datos!I72)</f>
        <v>BASE PARA VIDEO BEAM</v>
      </c>
      <c r="D13" s="305"/>
      <c r="E13" s="305"/>
      <c r="F13" s="305"/>
      <c r="G13" s="305"/>
      <c r="H13" s="305"/>
    </row>
    <row r="14" spans="1:8" x14ac:dyDescent="0.25">
      <c r="A14" s="159"/>
      <c r="B14" s="159"/>
      <c r="C14" s="160"/>
      <c r="D14" s="160"/>
      <c r="E14" s="160"/>
      <c r="F14" s="160"/>
      <c r="G14" s="160"/>
      <c r="H14" s="160"/>
    </row>
    <row r="15" spans="1:8" ht="46.5" customHeight="1" x14ac:dyDescent="0.25">
      <c r="A15" s="329" t="str">
        <f>+"PRESUPUESTO ASIGNADO: Conforme a las cotizaciones previamente realizadas, se asigna un presupuesto de "&amp;Datos!C22&amp;" ($"&amp;Datos!C20&amp;") mediante el Certificado de Disponibilidad Presupuestal "&amp;Datos!C25&amp;", de "&amp;Datos!C26&amp;"."</f>
        <v>PRESUPUESTO ASIGNADO: Conforme a las cotizaciones previamente realizadas, se asigna un presupuesto de Un millon trescientos setenta y cinco mil pesos M/L ($1375000) mediante el Certificado de Disponibilidad Presupuestal 6, de 27 de marzo de 2020.</v>
      </c>
      <c r="B15" s="329"/>
      <c r="C15" s="329"/>
      <c r="D15" s="329"/>
      <c r="E15" s="329"/>
      <c r="F15" s="329"/>
      <c r="G15" s="329"/>
      <c r="H15" s="329"/>
    </row>
    <row r="17" spans="1:8" ht="32.25" customHeight="1" x14ac:dyDescent="0.25">
      <c r="A17" s="318" t="str">
        <f>+"MODALIDAD  DE  CONTRATACIÓN: Se trata de un proceso de contratación realizado de conformidad con la modificación a la reglamentación expedida por el Consejo Directivo en el  "&amp;Datos!B54&amp;"."</f>
        <v>MODALIDAD  DE  CONTRATACIÓN: Se trata de un proceso de contratación realizado de conformidad con la modificación a la reglamentación expedida por el Consejo Directivo en el  Acuerdo #5 del 22 de abril de 2020.</v>
      </c>
      <c r="B17" s="318"/>
      <c r="C17" s="318"/>
      <c r="D17" s="318"/>
      <c r="E17" s="318"/>
      <c r="F17" s="318"/>
      <c r="G17" s="318"/>
      <c r="H17" s="318"/>
    </row>
    <row r="18" spans="1:8" x14ac:dyDescent="0.25">
      <c r="A18" s="188"/>
      <c r="B18" s="188"/>
      <c r="C18" s="188"/>
      <c r="D18" s="188"/>
      <c r="E18" s="188"/>
      <c r="F18" s="188"/>
      <c r="G18" s="188"/>
      <c r="H18" s="188"/>
    </row>
    <row r="19" spans="1:8" ht="30.75" customHeight="1" x14ac:dyDescent="0.25">
      <c r="A19" s="311" t="s">
        <v>297</v>
      </c>
      <c r="B19" s="311"/>
      <c r="C19" s="311"/>
      <c r="D19" s="311"/>
      <c r="E19" s="311"/>
      <c r="F19" s="311"/>
      <c r="G19" s="311"/>
      <c r="H19" s="311"/>
    </row>
    <row r="20" spans="1:8" ht="273.75" customHeight="1" x14ac:dyDescent="0.25">
      <c r="A20" s="330" t="s">
        <v>319</v>
      </c>
      <c r="B20" s="311"/>
      <c r="C20" s="311"/>
      <c r="D20" s="311"/>
      <c r="E20" s="311"/>
      <c r="F20" s="311"/>
      <c r="G20" s="311"/>
      <c r="H20" s="311"/>
    </row>
    <row r="22" spans="1:8" ht="156.75" customHeight="1" x14ac:dyDescent="0.25">
      <c r="A22" s="328" t="s">
        <v>321</v>
      </c>
      <c r="B22" s="328"/>
      <c r="C22" s="328"/>
      <c r="D22" s="328"/>
      <c r="E22" s="328"/>
      <c r="F22" s="328"/>
      <c r="G22" s="328"/>
      <c r="H22" s="328"/>
    </row>
    <row r="24" spans="1:8" ht="34.5" customHeight="1" x14ac:dyDescent="0.25">
      <c r="A24" s="327" t="s">
        <v>257</v>
      </c>
      <c r="B24" s="327"/>
      <c r="C24" s="327"/>
      <c r="D24" s="327"/>
      <c r="E24" s="327"/>
      <c r="F24" s="327"/>
      <c r="G24" s="327"/>
      <c r="H24" s="327"/>
    </row>
    <row r="26" spans="1:8" ht="34.5" customHeight="1" x14ac:dyDescent="0.25">
      <c r="A26" s="318" t="s">
        <v>324</v>
      </c>
      <c r="B26" s="318"/>
      <c r="C26" s="318"/>
      <c r="D26" s="318"/>
      <c r="E26" s="318"/>
      <c r="F26" s="318"/>
      <c r="G26" s="318"/>
      <c r="H26" s="318"/>
    </row>
    <row r="28" spans="1:8" ht="213.75" customHeight="1" x14ac:dyDescent="0.25">
      <c r="A28" s="311" t="s">
        <v>258</v>
      </c>
      <c r="B28" s="311"/>
      <c r="C28" s="311"/>
      <c r="D28" s="311"/>
      <c r="E28" s="311"/>
      <c r="F28" s="311"/>
      <c r="G28" s="311"/>
      <c r="H28" s="311"/>
    </row>
    <row r="29" spans="1:8" s="216" customFormat="1" ht="78" customHeight="1" x14ac:dyDescent="0.25">
      <c r="A29" s="318" t="s">
        <v>337</v>
      </c>
      <c r="B29" s="318"/>
      <c r="C29" s="318"/>
      <c r="D29" s="318"/>
      <c r="E29" s="318"/>
      <c r="F29" s="318"/>
      <c r="G29" s="318"/>
      <c r="H29" s="318"/>
    </row>
    <row r="30" spans="1:8" ht="6.75" customHeight="1" x14ac:dyDescent="0.25"/>
    <row r="31" spans="1:8" ht="78.75" customHeight="1" x14ac:dyDescent="0.25">
      <c r="A31" s="317" t="s">
        <v>338</v>
      </c>
      <c r="B31" s="318"/>
      <c r="C31" s="318"/>
      <c r="D31" s="318"/>
      <c r="E31" s="318"/>
      <c r="F31" s="318"/>
      <c r="G31" s="318"/>
      <c r="H31" s="318"/>
    </row>
    <row r="32" spans="1:8" ht="6.75" customHeight="1" x14ac:dyDescent="0.25">
      <c r="A32" s="49"/>
      <c r="B32" s="50"/>
      <c r="C32" s="50"/>
      <c r="D32" s="50"/>
      <c r="E32" s="50"/>
      <c r="F32" s="50"/>
      <c r="G32" s="50"/>
      <c r="H32" s="50"/>
    </row>
    <row r="33" spans="1:8" ht="71.25" customHeight="1" x14ac:dyDescent="0.25">
      <c r="A33" s="319" t="s">
        <v>320</v>
      </c>
      <c r="B33" s="319"/>
      <c r="C33" s="319"/>
      <c r="D33" s="319"/>
      <c r="E33" s="319"/>
      <c r="F33" s="319"/>
      <c r="G33" s="319"/>
      <c r="H33" s="319"/>
    </row>
    <row r="34" spans="1:8" ht="66" customHeight="1" x14ac:dyDescent="0.25">
      <c r="A34" s="166"/>
      <c r="B34" s="311" t="str">
        <f>+"• El estudio de mercado de este proceso se realizó con la siguiente metodología: "&amp;Datos!C44&amp;". Y conforme a las cotizaciones previamente realizadas, se asigna un presupuesto promedio aproximado de "&amp;Datos!C22&amp;" ($"&amp;Datos!C20&amp;") mediante el Certificado de Disponibilidad Presupuestal Nº "&amp;Datos!C25&amp;", del "&amp;Datos!C26&amp;"."</f>
        <v>• El estudio de mercado de este proceso se realizó con la siguiente metodología: Recepcion de cotizaciones al correo electronico. Y conforme a las cotizaciones previamente realizadas, se asigna un presupuesto promedio aproximado de Un millon trescientos setenta y cinco mil pesos M/L ($1375000) mediante el Certificado de Disponibilidad Presupuestal Nº 6, del 27 de marzo de 2020.</v>
      </c>
      <c r="C34" s="311"/>
      <c r="D34" s="311"/>
      <c r="E34" s="311"/>
      <c r="F34" s="311"/>
      <c r="G34" s="311"/>
      <c r="H34" s="311"/>
    </row>
    <row r="35" spans="1:8" ht="9.75" customHeight="1" x14ac:dyDescent="0.25">
      <c r="A35" s="49"/>
      <c r="B35" s="50"/>
      <c r="C35" s="50"/>
      <c r="D35" s="50"/>
      <c r="E35" s="50"/>
      <c r="F35" s="50"/>
      <c r="G35" s="50"/>
      <c r="H35" s="50"/>
    </row>
    <row r="36" spans="1:8" x14ac:dyDescent="0.25">
      <c r="A36" s="319" t="s">
        <v>259</v>
      </c>
      <c r="B36" s="319"/>
      <c r="C36" s="319"/>
      <c r="D36" s="319"/>
      <c r="E36" s="319"/>
      <c r="F36" s="319"/>
      <c r="G36" s="319"/>
      <c r="H36" s="319"/>
    </row>
    <row r="37" spans="1:8" ht="7.5" customHeight="1" x14ac:dyDescent="0.25">
      <c r="A37" s="173"/>
      <c r="B37" s="172"/>
      <c r="C37" s="172"/>
      <c r="D37" s="172"/>
      <c r="E37" s="172"/>
      <c r="F37" s="172"/>
      <c r="G37" s="172"/>
      <c r="H37" s="172"/>
    </row>
    <row r="38" spans="1:8" ht="15" customHeight="1" x14ac:dyDescent="0.25">
      <c r="A38" s="308" t="s">
        <v>260</v>
      </c>
      <c r="B38" s="309"/>
      <c r="C38" s="309"/>
      <c r="D38" s="310"/>
      <c r="E38" s="307" t="s">
        <v>33</v>
      </c>
      <c r="F38" s="307"/>
      <c r="G38" s="307" t="s">
        <v>234</v>
      </c>
      <c r="H38" s="307"/>
    </row>
    <row r="39" spans="1:8" ht="15" customHeight="1" x14ac:dyDescent="0.25">
      <c r="A39" s="314" t="str">
        <f>IF(ISBLANK(Datos!O26),"",Datos!O26)</f>
        <v>JOSE ALEXANDER ARBOLEDA CARDONA</v>
      </c>
      <c r="B39" s="315" t="str">
        <f>IF(ISBLANK(Datos!V66),"",Datos!V66)</f>
        <v/>
      </c>
      <c r="C39" s="315" t="str">
        <f>IF(ISBLANK(Datos!W66),"",Datos!W66)</f>
        <v/>
      </c>
      <c r="D39" s="316" t="str">
        <f>IF(ISBLANK(Datos!X63),"",Datos!X63)</f>
        <v/>
      </c>
      <c r="E39" s="312" t="str">
        <f>IF(ISBLANK(Datos!U26),"",(Datos!U26))</f>
        <v>71,377,271-6</v>
      </c>
      <c r="F39" s="316"/>
      <c r="G39" s="320">
        <f>IF(ISBLANK(Datos!W26),"",Datos!W26)</f>
        <v>1350000</v>
      </c>
      <c r="H39" s="321"/>
    </row>
    <row r="40" spans="1:8" x14ac:dyDescent="0.25">
      <c r="A40" s="314" t="str">
        <f>IF(ISBLANK(Datos!O27),"",Datos!O27)</f>
        <v>COPIMARKS S.A.S</v>
      </c>
      <c r="B40" s="315" t="str">
        <f>IF(ISBLANK(Datos!V67),"",Datos!V67)</f>
        <v/>
      </c>
      <c r="C40" s="315" t="str">
        <f>IF(ISBLANK(Datos!W67),"",Datos!W67)</f>
        <v/>
      </c>
      <c r="D40" s="316" t="str">
        <f>IF(ISBLANK(Datos!X64),"",Datos!X64)</f>
        <v/>
      </c>
      <c r="E40" s="312" t="str">
        <f>IF(ISBLANK(Datos!U27),"",(Datos!U27))</f>
        <v>900,722,974-1</v>
      </c>
      <c r="F40" s="316"/>
      <c r="G40" s="320">
        <f>IF(ISBLANK(Datos!W27),"",Datos!W27)</f>
        <v>1397357</v>
      </c>
      <c r="H40" s="321"/>
    </row>
    <row r="41" spans="1:8" x14ac:dyDescent="0.25">
      <c r="A41" s="314" t="str">
        <f>IF(ISBLANK(Datos!O28),"",Datos!O28)</f>
        <v xml:space="preserve">ML INFORMATICA S.A.S </v>
      </c>
      <c r="B41" s="315"/>
      <c r="C41" s="315"/>
      <c r="D41" s="316"/>
      <c r="E41" s="312" t="str">
        <f>IF(ISBLANK(Datos!U28),"",(Datos!U28))</f>
        <v>900,298,316-6</v>
      </c>
      <c r="F41" s="313"/>
      <c r="G41" s="320">
        <f>IF(ISBLANK(Datos!W28),"",Datos!W28)</f>
        <v>1375402</v>
      </c>
      <c r="H41" s="321"/>
    </row>
    <row r="42" spans="1:8" x14ac:dyDescent="0.25">
      <c r="A42" s="49"/>
      <c r="B42" s="50"/>
      <c r="C42" s="50"/>
      <c r="D42" s="50"/>
      <c r="E42" s="50"/>
      <c r="F42" s="50"/>
      <c r="G42" s="50"/>
      <c r="H42" s="50"/>
    </row>
    <row r="44" spans="1:8" ht="30.75" customHeight="1" x14ac:dyDescent="0.25">
      <c r="B44" s="25"/>
      <c r="C44" s="25"/>
      <c r="D44" s="306" t="str">
        <f>+Datos!B51</f>
        <v>CARLOS MARIO GIRALDO JIMENEZ
Rector</v>
      </c>
      <c r="E44" s="306"/>
      <c r="F44" s="306"/>
      <c r="G44" s="25"/>
      <c r="H44" s="25"/>
    </row>
  </sheetData>
  <mergeCells count="39">
    <mergeCell ref="A26:H26"/>
    <mergeCell ref="A19:H19"/>
    <mergeCell ref="A24:H24"/>
    <mergeCell ref="A22:H22"/>
    <mergeCell ref="A15:H15"/>
    <mergeCell ref="A17:H17"/>
    <mergeCell ref="A20:H20"/>
    <mergeCell ref="A39:D39"/>
    <mergeCell ref="E40:F40"/>
    <mergeCell ref="E39:F39"/>
    <mergeCell ref="A28:H28"/>
    <mergeCell ref="A1:H1"/>
    <mergeCell ref="A6:H6"/>
    <mergeCell ref="A8:H8"/>
    <mergeCell ref="A10:B10"/>
    <mergeCell ref="A2:H2"/>
    <mergeCell ref="C12:H12"/>
    <mergeCell ref="A12:B12"/>
    <mergeCell ref="A4:H4"/>
    <mergeCell ref="C10:H10"/>
    <mergeCell ref="A11:B11"/>
    <mergeCell ref="C11:H11"/>
    <mergeCell ref="A13:B13"/>
    <mergeCell ref="C13:H13"/>
    <mergeCell ref="D44:F44"/>
    <mergeCell ref="E38:F38"/>
    <mergeCell ref="A38:D38"/>
    <mergeCell ref="G38:H38"/>
    <mergeCell ref="B34:H34"/>
    <mergeCell ref="E41:F41"/>
    <mergeCell ref="A41:D41"/>
    <mergeCell ref="A31:H31"/>
    <mergeCell ref="A29:H29"/>
    <mergeCell ref="A33:H33"/>
    <mergeCell ref="G41:H41"/>
    <mergeCell ref="G40:H40"/>
    <mergeCell ref="G39:H39"/>
    <mergeCell ref="A36:H36"/>
    <mergeCell ref="A40:D40"/>
  </mergeCells>
  <printOptions horizontalCentered="1"/>
  <pageMargins left="0.70866141732283472" right="0.70866141732283472" top="1.65" bottom="0.99375000000000002" header="0.31496062992125984" footer="0.17812500000000001"/>
  <pageSetup scale="90" orientation="portrait" r:id="rId1"/>
  <headerFooter>
    <oddHeader>&amp;C&amp;G</oddHeader>
    <oddFooter>&amp;C&amp;G
Página &amp;P de &amp;N&amp;REstudios Previos</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topLeftCell="A19" zoomScaleNormal="100" workbookViewId="0">
      <selection activeCell="D28" sqref="D28"/>
    </sheetView>
  </sheetViews>
  <sheetFormatPr baseColWidth="10" defaultRowHeight="15" x14ac:dyDescent="0.25"/>
  <sheetData>
    <row r="1" spans="1:8" x14ac:dyDescent="0.25">
      <c r="A1" s="322" t="str">
        <f>+""&amp;Datos!B24&amp;" "&amp;Datos!C24&amp;""</f>
        <v>RESOLUCIÓN DE APERTURA No. RAP.   007- 06-2020</v>
      </c>
      <c r="B1" s="322"/>
      <c r="C1" s="322"/>
      <c r="D1" s="322"/>
      <c r="E1" s="322"/>
      <c r="F1" s="322"/>
      <c r="G1" s="322"/>
      <c r="H1" s="322"/>
    </row>
    <row r="2" spans="1:8" x14ac:dyDescent="0.25">
      <c r="A2" s="333" t="str">
        <f>+"("&amp;Datos!J49&amp;")"</f>
        <v>(13 de junio de 2020)</v>
      </c>
      <c r="B2" s="333"/>
      <c r="C2" s="333"/>
      <c r="D2" s="333"/>
      <c r="E2" s="333"/>
      <c r="F2" s="333"/>
      <c r="G2" s="333"/>
      <c r="H2" s="333"/>
    </row>
    <row r="3" spans="1:8" x14ac:dyDescent="0.25">
      <c r="A3" s="156"/>
      <c r="B3" s="156"/>
      <c r="C3" s="156"/>
      <c r="D3" s="156"/>
      <c r="E3" s="156"/>
      <c r="F3" s="156"/>
      <c r="G3" s="156"/>
      <c r="H3" s="156"/>
    </row>
    <row r="4" spans="1:8" ht="45" customHeight="1" x14ac:dyDescent="0.25">
      <c r="A4" s="331" t="str">
        <f>+"Por medio de la cual se da APERTURA a un proceso contractual para: "&amp;Datos!C8&amp;". "</f>
        <v xml:space="preserve">Por medio de la cual se da APERTURA a un proceso contractual para: Compra de materiales tecnologicos. </v>
      </c>
      <c r="B4" s="331"/>
      <c r="C4" s="331"/>
      <c r="D4" s="331"/>
      <c r="E4" s="331"/>
      <c r="F4" s="331"/>
      <c r="G4" s="331"/>
      <c r="H4" s="331"/>
    </row>
    <row r="5" spans="1:8" x14ac:dyDescent="0.25">
      <c r="A5" s="157"/>
      <c r="B5" s="157"/>
      <c r="C5" s="157"/>
      <c r="D5" s="157"/>
      <c r="E5" s="157"/>
      <c r="F5" s="157"/>
      <c r="G5" s="157"/>
      <c r="H5" s="157"/>
    </row>
    <row r="6" spans="1:8" ht="89.25" customHeight="1" x14ac:dyDescent="0.25">
      <c r="A6" s="311" t="str">
        <f>+"La Rectoría de la "&amp;Datos!B49&amp;" del Municipio de "&amp;Datos!B50&amp;" en uso de sus facultades legales, en particular las conferidas por la Ley 115 de 1994, Artículo 10 de la Ley 715 de 2002 ; el Decreto 1075 de 2015; el Decreto 4807 de 2011, y conforme a lo establecido en la Ley 1150 de 2007, el Decreto 1082 de 2015 y el "&amp;Datos!B54&amp;" del Consejo Directivo (Reglamento de Contratación Institucional para la contratación de bienes y servicios hasta la cuantía de 20 SMLMV), Y"</f>
        <v>La Rectoría de la INSTITUCIÓN EDUCATIVA JOAQUIN VALLEJO ARBELAEZ del Municipio de MEDELLÍN en uso de sus facultades legales, en particular las conferidas por la Ley 115 de 1994, Artículo 10 de la Ley 715 de 2002 ; el Decreto 1075 de 2015; el Decreto 4807 de 2011, y conforme a lo establecido en la Ley 1150 de 2007, el Decreto 1082 de 2015 y el Acuerdo #5 del 22 de abril de 2020 del Consejo Directivo (Reglamento de Contratación Institucional para la contratación de bienes y servicios hasta la cuantía de 20 SMLMV), Y</v>
      </c>
      <c r="B6" s="311"/>
      <c r="C6" s="311"/>
      <c r="D6" s="311"/>
      <c r="E6" s="311"/>
      <c r="F6" s="311"/>
      <c r="G6" s="311"/>
      <c r="H6" s="311"/>
    </row>
    <row r="7" spans="1:8" x14ac:dyDescent="0.25">
      <c r="A7" s="331" t="s">
        <v>101</v>
      </c>
      <c r="B7" s="331"/>
      <c r="C7" s="331"/>
      <c r="D7" s="331"/>
      <c r="E7" s="331"/>
      <c r="F7" s="331"/>
      <c r="G7" s="331"/>
      <c r="H7" s="331"/>
    </row>
    <row r="8" spans="1:8" ht="15.75" customHeight="1" x14ac:dyDescent="0.25">
      <c r="A8" s="29"/>
      <c r="B8" s="29"/>
      <c r="C8" s="29"/>
      <c r="D8" s="29"/>
      <c r="E8" s="29"/>
      <c r="F8" s="29"/>
      <c r="G8" s="29"/>
      <c r="H8" s="29"/>
    </row>
    <row r="9" spans="1:8" ht="98.25" customHeight="1" x14ac:dyDescent="0.25">
      <c r="A9" s="334" t="str">
        <f>+"1. Que la Institución Educativa debe garantizar la continuidad en el servicio educativo que presta "&amp;Datos!O64&amp;", siendo  esencial: "&amp;Datos!C8&amp;"."</f>
        <v>1. Que la Institución Educativa debe garantizar la continuidad en el servicio educativo que presta aun durante el Estado de Emergencia declarado según el Decreto 457 del 22 de marzo de 2020, por medio del cual se imparten instruccciones en virtud de la Emergencia Sanitaria generada por la pandemia del Coronavirus COVID-19 y el mantenimiento del orden público (Aislamiento Preventivo Obligatorio), siendo  esencial: Compra de materiales tecnologicos.</v>
      </c>
      <c r="B9" s="334"/>
      <c r="C9" s="334"/>
      <c r="D9" s="334"/>
      <c r="E9" s="334"/>
      <c r="F9" s="334"/>
      <c r="G9" s="334"/>
      <c r="H9" s="334"/>
    </row>
    <row r="10" spans="1:8" ht="87" customHeight="1" x14ac:dyDescent="0.25">
      <c r="A10" s="319" t="str">
        <f>+"2. Que el proceso de contratación se realizará según el reglamento aprobado por el Consejo Directivo en el  "&amp;Datos!B54&amp;".
3. Que la entidad cuenta con los respectivos estudios previos de Conveniencia y Oportunidad No. EP. "&amp;Datos!C19&amp;" para celebrar la presente  conforme al Artículo 3 del Decreto 066 de 2008."</f>
        <v>2. Que el proceso de contratación se realizará según el reglamento aprobado por el Consejo Directivo en el  Acuerdo #5 del 22 de abril de 2020.
3. Que la entidad cuenta con los respectivos estudios previos de Conveniencia y Oportunidad No. EP. 007- 06-2020 para celebrar la presente  conforme al Artículo 3 del Decreto 066 de 2008.</v>
      </c>
      <c r="B10" s="319"/>
      <c r="C10" s="319"/>
      <c r="D10" s="319"/>
      <c r="E10" s="319"/>
      <c r="F10" s="319"/>
      <c r="G10" s="319"/>
      <c r="H10" s="319"/>
    </row>
    <row r="11" spans="1:8" ht="82.5" customHeight="1" x14ac:dyDescent="0.25">
      <c r="A11" s="311" t="s">
        <v>332</v>
      </c>
      <c r="B11" s="311"/>
      <c r="C11" s="311"/>
      <c r="D11" s="311"/>
      <c r="E11" s="311"/>
      <c r="F11" s="311"/>
      <c r="G11" s="311"/>
      <c r="H11" s="311"/>
    </row>
    <row r="12" spans="1:8" x14ac:dyDescent="0.25">
      <c r="A12" s="50"/>
      <c r="B12" s="50"/>
      <c r="C12" s="50"/>
      <c r="D12" s="50"/>
      <c r="E12" s="50"/>
      <c r="F12" s="50"/>
      <c r="G12" s="50"/>
      <c r="H12" s="50"/>
    </row>
    <row r="13" spans="1:8" x14ac:dyDescent="0.25">
      <c r="A13" s="331" t="s">
        <v>102</v>
      </c>
      <c r="B13" s="331"/>
      <c r="C13" s="331"/>
      <c r="D13" s="331"/>
      <c r="E13" s="331"/>
      <c r="F13" s="331"/>
      <c r="G13" s="331"/>
      <c r="H13" s="331"/>
    </row>
    <row r="14" spans="1:8" x14ac:dyDescent="0.25">
      <c r="A14" s="169"/>
      <c r="B14" s="169"/>
      <c r="C14" s="169"/>
      <c r="D14" s="169"/>
      <c r="E14" s="169"/>
      <c r="F14" s="169"/>
      <c r="G14" s="169"/>
      <c r="H14" s="169"/>
    </row>
    <row r="15" spans="1:8" ht="71.25" customHeight="1" x14ac:dyDescent="0.25">
      <c r="A15" s="319" t="str">
        <f>+"ARTÍCULO PRIMERO. Ordenar la apertura al proceso de selección por Invitación Pública No. IP. "&amp;Datos!C18&amp;",  para la celebración de un contrato cuyo objeto es seleccionar en igualdad de oportunidades a quien ofrezca mejores condiciones para contratar: "&amp;Datos!C8&amp;"."</f>
        <v>ARTÍCULO PRIMERO. Ordenar la apertura al proceso de selección por Invitación Pública No. IP. 007- 06-2020,  para la celebración de un contrato cuyo objeto es seleccionar en igualdad de oportunidades a quien ofrezca mejores condiciones para contratar: Compra de materiales tecnologicos.</v>
      </c>
      <c r="B15" s="319"/>
      <c r="C15" s="319"/>
      <c r="D15" s="319"/>
      <c r="E15" s="319"/>
      <c r="F15" s="319"/>
      <c r="G15" s="319"/>
      <c r="H15" s="319"/>
    </row>
    <row r="16" spans="1:8" x14ac:dyDescent="0.25">
      <c r="A16" s="158"/>
      <c r="B16" s="158"/>
      <c r="C16" s="158"/>
      <c r="D16" s="158"/>
      <c r="E16" s="158"/>
      <c r="F16" s="158"/>
      <c r="G16" s="158"/>
      <c r="H16" s="158"/>
    </row>
    <row r="17" spans="1:8" ht="93.75" customHeight="1" x14ac:dyDescent="0.25">
      <c r="A17" s="311" t="s">
        <v>298</v>
      </c>
      <c r="B17" s="311"/>
      <c r="C17" s="311"/>
      <c r="D17" s="311"/>
      <c r="E17" s="311"/>
      <c r="F17" s="311"/>
      <c r="G17" s="311"/>
      <c r="H17" s="311"/>
    </row>
    <row r="18" spans="1:8" ht="14.25" customHeight="1" x14ac:dyDescent="0.25">
      <c r="A18" s="28"/>
      <c r="B18" s="28"/>
      <c r="C18" s="28"/>
      <c r="D18" s="28"/>
      <c r="E18" s="28"/>
      <c r="F18" s="28"/>
      <c r="G18" s="28"/>
      <c r="H18" s="28"/>
    </row>
    <row r="19" spans="1:8" ht="75" customHeight="1" x14ac:dyDescent="0.25">
      <c r="A19" s="335" t="s">
        <v>361</v>
      </c>
      <c r="B19" s="336"/>
      <c r="C19" s="336"/>
      <c r="D19" s="336"/>
      <c r="E19" s="336"/>
      <c r="F19" s="336"/>
      <c r="G19" s="336"/>
      <c r="H19" s="336"/>
    </row>
    <row r="20" spans="1:8" x14ac:dyDescent="0.25">
      <c r="A20" s="51"/>
      <c r="B20" s="52"/>
      <c r="C20" s="52"/>
      <c r="D20" s="52"/>
      <c r="E20" s="52"/>
      <c r="F20" s="52"/>
      <c r="G20" s="52"/>
      <c r="H20" s="52"/>
    </row>
    <row r="21" spans="1:8" x14ac:dyDescent="0.25">
      <c r="A21" s="51"/>
      <c r="B21" s="52"/>
      <c r="C21" s="52"/>
      <c r="D21" s="52"/>
      <c r="E21" s="52"/>
      <c r="F21" s="52"/>
      <c r="G21" s="52"/>
      <c r="H21" s="52"/>
    </row>
    <row r="22" spans="1:8" x14ac:dyDescent="0.25">
      <c r="A22" s="33"/>
      <c r="B22" s="34"/>
      <c r="C22" s="34"/>
      <c r="D22" s="34"/>
      <c r="E22" s="34"/>
      <c r="F22" s="34"/>
      <c r="G22" s="34"/>
      <c r="H22" s="34"/>
    </row>
    <row r="23" spans="1:8" ht="20.25" customHeight="1" x14ac:dyDescent="0.25">
      <c r="A23" s="332" t="str">
        <f>+"Dada en "&amp;Datos!B50&amp;" el "&amp;Datos!J49&amp;"."</f>
        <v>Dada en MEDELLÍN el 13 de junio de 2020.</v>
      </c>
      <c r="B23" s="332"/>
      <c r="C23" s="332"/>
      <c r="D23" s="332"/>
      <c r="E23" s="332"/>
      <c r="F23" s="332"/>
      <c r="G23" s="332"/>
      <c r="H23" s="332"/>
    </row>
    <row r="24" spans="1:8" ht="20.25" customHeight="1" x14ac:dyDescent="0.25">
      <c r="A24" s="37"/>
      <c r="B24" s="37"/>
      <c r="C24" s="37"/>
      <c r="D24" s="37"/>
      <c r="E24" s="37"/>
      <c r="F24" s="37"/>
      <c r="G24" s="37"/>
      <c r="H24" s="37"/>
    </row>
    <row r="25" spans="1:8" x14ac:dyDescent="0.25">
      <c r="A25" s="37"/>
      <c r="B25" s="37"/>
      <c r="C25" s="37"/>
      <c r="D25" s="37"/>
      <c r="E25" s="37"/>
      <c r="F25" s="37"/>
      <c r="G25" s="37"/>
      <c r="H25" s="37"/>
    </row>
    <row r="26" spans="1:8" x14ac:dyDescent="0.25">
      <c r="A26" s="150"/>
      <c r="B26" s="150"/>
      <c r="C26" s="150"/>
      <c r="D26" s="150"/>
      <c r="E26" s="150"/>
      <c r="F26" s="150"/>
      <c r="G26" s="150"/>
      <c r="H26" s="150"/>
    </row>
    <row r="27" spans="1:8" x14ac:dyDescent="0.25">
      <c r="A27" s="37"/>
      <c r="B27" s="37"/>
      <c r="C27" s="37"/>
      <c r="D27" s="37"/>
      <c r="E27" s="37"/>
      <c r="F27" s="37"/>
      <c r="G27" s="37"/>
      <c r="H27" s="37"/>
    </row>
    <row r="28" spans="1:8" ht="20.25" customHeight="1" x14ac:dyDescent="0.25">
      <c r="A28" s="37"/>
      <c r="B28" s="37"/>
      <c r="C28" s="37"/>
      <c r="D28" s="37"/>
      <c r="E28" s="37"/>
      <c r="F28" s="37"/>
      <c r="G28" s="37"/>
      <c r="H28" s="37"/>
    </row>
    <row r="30" spans="1:8" ht="41.25" customHeight="1" x14ac:dyDescent="0.25">
      <c r="B30" s="25"/>
      <c r="C30" s="306" t="str">
        <f>+""&amp;Datos!B51&amp;""</f>
        <v>CARLOS MARIO GIRALDO JIMENEZ
Rector</v>
      </c>
      <c r="D30" s="306"/>
      <c r="E30" s="306"/>
      <c r="F30" s="306"/>
      <c r="G30" s="25"/>
      <c r="H30" s="25"/>
    </row>
  </sheetData>
  <mergeCells count="14">
    <mergeCell ref="C30:F30"/>
    <mergeCell ref="A1:H1"/>
    <mergeCell ref="A11:H11"/>
    <mergeCell ref="A13:H13"/>
    <mergeCell ref="A17:H17"/>
    <mergeCell ref="A23:H23"/>
    <mergeCell ref="A2:H2"/>
    <mergeCell ref="A4:H4"/>
    <mergeCell ref="A6:H6"/>
    <mergeCell ref="A7:H7"/>
    <mergeCell ref="A9:H9"/>
    <mergeCell ref="A10:H10"/>
    <mergeCell ref="A15:H15"/>
    <mergeCell ref="A19:H19"/>
  </mergeCells>
  <printOptions horizontalCentered="1"/>
  <pageMargins left="0.32291666666666669" right="0.27559055118110237" top="1.78125" bottom="1.0416666666666667" header="0.31496062992125984" footer="0.19791666666666666"/>
  <pageSetup orientation="portrait" r:id="rId1"/>
  <headerFooter>
    <oddHeader>&amp;C&amp;G</oddHeader>
    <oddFooter>&amp;C&amp;G
Página &amp;P de &amp;N&amp;RResolución de Apertura</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topLeftCell="A52" zoomScaleNormal="70" workbookViewId="0">
      <selection activeCell="D57" sqref="D57"/>
    </sheetView>
  </sheetViews>
  <sheetFormatPr baseColWidth="10" defaultRowHeight="15" x14ac:dyDescent="0.25"/>
  <cols>
    <col min="1" max="1" width="19.42578125" customWidth="1"/>
    <col min="2" max="2" width="7.85546875" customWidth="1"/>
    <col min="8" max="8" width="15.85546875" customWidth="1"/>
  </cols>
  <sheetData>
    <row r="1" spans="1:8" x14ac:dyDescent="0.25">
      <c r="A1" s="322" t="str">
        <f>+""&amp;Datos!B18&amp;" "&amp;Datos!C18&amp;""</f>
        <v>INVITACIÓN PÚBLICA No. IP.  007- 06-2020</v>
      </c>
      <c r="B1" s="322"/>
      <c r="C1" s="322"/>
      <c r="D1" s="322"/>
      <c r="E1" s="322"/>
      <c r="F1" s="322"/>
      <c r="G1" s="322"/>
      <c r="H1" s="322"/>
    </row>
    <row r="2" spans="1:8" x14ac:dyDescent="0.25">
      <c r="A2" s="342" t="str">
        <f>+"FECHA: "&amp;Datos!J49&amp;""</f>
        <v>FECHA: 13 de junio de 2020</v>
      </c>
      <c r="B2" s="342"/>
      <c r="C2" s="342"/>
      <c r="D2" s="342"/>
      <c r="E2" s="342"/>
      <c r="F2" s="342"/>
      <c r="G2" s="342"/>
      <c r="H2" s="342"/>
    </row>
    <row r="3" spans="1:8" x14ac:dyDescent="0.25">
      <c r="A3" s="39"/>
      <c r="B3" s="39"/>
      <c r="C3" s="39"/>
      <c r="D3" s="39"/>
      <c r="E3" s="39"/>
      <c r="F3" s="39"/>
      <c r="G3" s="39"/>
      <c r="H3" s="39"/>
    </row>
    <row r="4" spans="1:8" ht="38.25" customHeight="1" x14ac:dyDescent="0.25">
      <c r="A4" s="311" t="str">
        <f>+"Por medio del cual la "&amp;Datos!B49&amp;",  CONVOCA a los diferentes proveedores interesados en un proceso contractual para: "&amp;Datos!C8&amp;"."</f>
        <v>Por medio del cual la INSTITUCIÓN EDUCATIVA JOAQUIN VALLEJO ARBELAEZ,  CONVOCA a los diferentes proveedores interesados en un proceso contractual para: Compra de materiales tecnologicos.</v>
      </c>
      <c r="B4" s="311"/>
      <c r="C4" s="311"/>
      <c r="D4" s="311"/>
      <c r="E4" s="311"/>
      <c r="F4" s="311"/>
      <c r="G4" s="311"/>
      <c r="H4" s="311"/>
    </row>
    <row r="5" spans="1:8" x14ac:dyDescent="0.25">
      <c r="A5" s="154"/>
      <c r="B5" s="154"/>
      <c r="C5" s="154"/>
      <c r="D5" s="154"/>
      <c r="E5" s="154"/>
      <c r="F5" s="154"/>
      <c r="G5" s="154"/>
      <c r="H5" s="154"/>
    </row>
    <row r="6" spans="1:8" ht="151.5" customHeight="1" x14ac:dyDescent="0.25">
      <c r="A6" s="326" t="str">
        <f>+"JUSTIFICACIÓN: La Institución Educativa debe garantizar la continuidad en el servicio educativo que presta "&amp;Datos!O64&amp;", siendo fundamental: "&amp;Datos!E8&amp;".
El proceso de contratación se realizará según el reglamento aprobado por el Consejo Directivo en el "&amp;Datos!B54&amp;"."</f>
        <v>JUSTIFICACIÓN: La Institución Educativa debe garantizar la continuidad en el servicio educativo que presta aun durante el Estado de Emergencia declarado según el Decreto 457 del 22 de marzo de 2020, por medio del cual se imparten instruccciones en virtud de la Emergencia Sanitaria generada por la pandemia del Coronavirus COVID-19 y el mantenimiento del orden público (Aislamiento Preventivo Obligatorio), siendo fundamental: Compra de materiales tecnológicos los cuales son necesarios para el correcto funcionamiento de los equipos de computo, utilizados para la realizacion de actividades académicas y ludicas con los estudiantes, lo cual permite tener espacios diferentes de aprendizaje y mejorar el nivel académico. Con esto se benefician todos los estudiantes de la institucion. .
El proceso de contratación se realizará según el reglamento aprobado por el Consejo Directivo en el Acuerdo #5 del 22 de abril de 2020.</v>
      </c>
      <c r="B6" s="326"/>
      <c r="C6" s="326"/>
      <c r="D6" s="326"/>
      <c r="E6" s="326"/>
      <c r="F6" s="326"/>
      <c r="G6" s="326"/>
      <c r="H6" s="326"/>
    </row>
    <row r="7" spans="1:8" x14ac:dyDescent="0.25">
      <c r="A7" s="154"/>
      <c r="B7" s="154"/>
      <c r="C7" s="154"/>
      <c r="D7" s="154"/>
      <c r="E7" s="154"/>
      <c r="F7" s="154"/>
      <c r="G7" s="154"/>
      <c r="H7" s="154"/>
    </row>
    <row r="8" spans="1:8" ht="19.5" customHeight="1" x14ac:dyDescent="0.25">
      <c r="A8" s="323" t="str">
        <f>+"OBJETO A CONTRATAR: "&amp;Datos!C8&amp;"."</f>
        <v>OBJETO A CONTRATAR: Compra de materiales tecnologicos.</v>
      </c>
      <c r="B8" s="323"/>
      <c r="C8" s="323"/>
      <c r="D8" s="323"/>
      <c r="E8" s="323"/>
      <c r="F8" s="323"/>
      <c r="G8" s="323"/>
      <c r="H8" s="323"/>
    </row>
    <row r="9" spans="1:8" x14ac:dyDescent="0.25">
      <c r="A9" s="50"/>
      <c r="B9" s="50"/>
      <c r="C9" s="50"/>
      <c r="D9" s="50"/>
      <c r="E9" s="50"/>
      <c r="F9" s="50"/>
      <c r="G9" s="50"/>
      <c r="H9" s="50"/>
    </row>
    <row r="10" spans="1:8" ht="33.75" customHeight="1" x14ac:dyDescent="0.25">
      <c r="A10" s="311" t="s">
        <v>191</v>
      </c>
      <c r="B10" s="311"/>
      <c r="C10" s="311"/>
      <c r="D10" s="311"/>
      <c r="E10" s="311"/>
      <c r="F10" s="311"/>
      <c r="G10" s="311"/>
      <c r="H10" s="311"/>
    </row>
    <row r="11" spans="1:8" x14ac:dyDescent="0.25">
      <c r="A11" s="50"/>
      <c r="B11" s="50"/>
      <c r="C11" s="50"/>
      <c r="D11" s="50"/>
      <c r="E11" s="50"/>
      <c r="F11" s="50"/>
      <c r="G11" s="50"/>
      <c r="H11" s="50"/>
    </row>
    <row r="12" spans="1:8" ht="36.75" customHeight="1" x14ac:dyDescent="0.25">
      <c r="A12" s="311" t="s">
        <v>263</v>
      </c>
      <c r="B12" s="311"/>
      <c r="C12" s="311"/>
      <c r="D12" s="311"/>
      <c r="E12" s="311"/>
      <c r="F12" s="311"/>
      <c r="G12" s="311"/>
      <c r="H12" s="311"/>
    </row>
    <row r="13" spans="1:8" x14ac:dyDescent="0.25">
      <c r="A13" s="50"/>
      <c r="B13" s="50"/>
      <c r="C13" s="50"/>
      <c r="D13" s="50"/>
      <c r="E13" s="50"/>
      <c r="F13" s="50"/>
      <c r="G13" s="50"/>
      <c r="H13" s="50"/>
    </row>
    <row r="14" spans="1:8" ht="15.95" customHeight="1" x14ac:dyDescent="0.25">
      <c r="A14" s="307" t="str">
        <f>Datos!H69</f>
        <v>CANTIDADES</v>
      </c>
      <c r="B14" s="307"/>
      <c r="C14" s="307" t="str">
        <f>Datos!I69</f>
        <v>DETALLE</v>
      </c>
      <c r="D14" s="307"/>
      <c r="E14" s="307"/>
      <c r="F14" s="307"/>
      <c r="G14" s="307"/>
      <c r="H14" s="307"/>
    </row>
    <row r="15" spans="1:8" ht="15.95" customHeight="1" x14ac:dyDescent="0.25">
      <c r="A15" s="325">
        <f>IF(ISBLANK(Datos!H70),"",Datos!H70)</f>
        <v>20</v>
      </c>
      <c r="B15" s="325"/>
      <c r="C15" s="305" t="str">
        <f>IF(ISBLANK(Datos!I70),"",Datos!I70)</f>
        <v>COMBO TECLADO Y MAUSE ALAMBRICO</v>
      </c>
      <c r="D15" s="305"/>
      <c r="E15" s="305"/>
      <c r="F15" s="305"/>
      <c r="G15" s="305"/>
      <c r="H15" s="305"/>
    </row>
    <row r="16" spans="1:8" x14ac:dyDescent="0.25">
      <c r="A16" s="325">
        <f>IF(ISBLANK(Datos!H71),"",Datos!H71)</f>
        <v>21</v>
      </c>
      <c r="B16" s="325"/>
      <c r="C16" s="305" t="str">
        <f>IF(ISBLANK(Datos!I71),"",Datos!I71)</f>
        <v>DIADEMA PARA SONIDO</v>
      </c>
      <c r="D16" s="305"/>
      <c r="E16" s="305"/>
      <c r="F16" s="305"/>
      <c r="G16" s="305"/>
      <c r="H16" s="305"/>
    </row>
    <row r="17" spans="1:8" x14ac:dyDescent="0.25">
      <c r="A17" s="325">
        <f>IF(ISBLANK(Datos!H72),"",Datos!H72)</f>
        <v>1</v>
      </c>
      <c r="B17" s="325"/>
      <c r="C17" s="305" t="str">
        <f>IF(ISBLANK(Datos!I72),"",Datos!I72)</f>
        <v>BASE PARA VIDEO BEAM</v>
      </c>
      <c r="D17" s="305"/>
      <c r="E17" s="305"/>
      <c r="F17" s="305"/>
      <c r="G17" s="305"/>
      <c r="H17" s="305"/>
    </row>
    <row r="18" spans="1:8" x14ac:dyDescent="0.25">
      <c r="A18" s="24"/>
      <c r="B18" s="24"/>
      <c r="C18" s="24"/>
      <c r="D18" s="24"/>
      <c r="E18" s="24"/>
      <c r="F18" s="24"/>
      <c r="G18" s="24"/>
      <c r="H18" s="24"/>
    </row>
    <row r="19" spans="1:8" ht="49.5" customHeight="1" x14ac:dyDescent="0.25">
      <c r="A19" s="311" t="str">
        <f>+"PRESUPUESTO ASIGNADO: Conforme a los Estudios Previos realizados No. EP. "&amp;Datos!C19&amp;" y previo Certificado de  Disponibilidad Presupuestal Nº "&amp;Datos!C25&amp;", del "&amp;Datos!C26&amp;", se asigna un presupuesto de "&amp;Datos!C22&amp;" ($"&amp;Datos!C20&amp;")."</f>
        <v>PRESUPUESTO ASIGNADO: Conforme a los Estudios Previos realizados No. EP. 007- 06-2020 y previo Certificado de  Disponibilidad Presupuestal Nº 6, del 27 de marzo de 2020, se asigna un presupuesto de Un millon trescientos setenta y cinco mil pesos M/L ($1375000).</v>
      </c>
      <c r="B19" s="311"/>
      <c r="C19" s="311"/>
      <c r="D19" s="311"/>
      <c r="E19" s="311"/>
      <c r="F19" s="311"/>
      <c r="G19" s="311"/>
      <c r="H19" s="311"/>
    </row>
    <row r="20" spans="1:8" x14ac:dyDescent="0.25">
      <c r="A20" s="154"/>
      <c r="B20" s="154"/>
      <c r="C20" s="154"/>
      <c r="D20" s="154"/>
      <c r="E20" s="154"/>
      <c r="F20" s="154"/>
      <c r="G20" s="154"/>
      <c r="H20" s="154"/>
    </row>
    <row r="21" spans="1:8" ht="65.25" customHeight="1" x14ac:dyDescent="0.25">
      <c r="A21" s="311" t="str">
        <f>+"FUNDAMENTOS JURÍDICOS DEL PROCESO DE SELECCIÓN: El valor del contrato a suscribir, es inferior a veinte (20) salarios mínimos (SMLMV), por lo que se aplica lo estipulado en el Decreto 1075 de 2015 su artículo 2.3.1.6.3.5 y en especial en el "&amp;Datos!B54&amp;", expedido por el Consejo Directivo de la "&amp;Datos!B49&amp;"."</f>
        <v>FUNDAMENTOS JURÍDICOS DEL PROCESO DE SELECCIÓN: El valor del contrato a suscribir, es inferior a veinte (20) salarios mínimos (SMLMV), por lo que se aplica lo estipulado en el Decreto 1075 de 2015 su artículo 2.3.1.6.3.5 y en especial en el Acuerdo #5 del 22 de abril de 2020, expedido por el Consejo Directivo de la INSTITUCIÓN EDUCATIVA JOAQUIN VALLEJO ARBELAEZ.</v>
      </c>
      <c r="B21" s="311"/>
      <c r="C21" s="311"/>
      <c r="D21" s="311"/>
      <c r="E21" s="311"/>
      <c r="F21" s="311"/>
      <c r="G21" s="311"/>
      <c r="H21" s="311"/>
    </row>
    <row r="22" spans="1:8" x14ac:dyDescent="0.25">
      <c r="A22" s="50"/>
      <c r="B22" s="50"/>
      <c r="C22" s="50"/>
      <c r="D22" s="50"/>
      <c r="E22" s="50"/>
      <c r="F22" s="50"/>
      <c r="G22" s="50"/>
      <c r="H22" s="50"/>
    </row>
    <row r="23" spans="1:8" ht="75.75" customHeight="1" x14ac:dyDescent="0.25">
      <c r="A23" s="326" t="s">
        <v>333</v>
      </c>
      <c r="B23" s="326"/>
      <c r="C23" s="326"/>
      <c r="D23" s="326"/>
      <c r="E23" s="326"/>
      <c r="F23" s="326"/>
      <c r="G23" s="326"/>
      <c r="H23" s="326"/>
    </row>
    <row r="24" spans="1:8" x14ac:dyDescent="0.25">
      <c r="A24" s="50"/>
      <c r="B24" s="50"/>
      <c r="C24" s="50"/>
      <c r="D24" s="50"/>
      <c r="E24" s="50"/>
      <c r="F24" s="50"/>
      <c r="G24" s="50"/>
      <c r="H24" s="50"/>
    </row>
    <row r="25" spans="1:8" ht="275.25" customHeight="1" x14ac:dyDescent="0.25">
      <c r="A25" s="330" t="s">
        <v>319</v>
      </c>
      <c r="B25" s="311"/>
      <c r="C25" s="311"/>
      <c r="D25" s="311"/>
      <c r="E25" s="311"/>
      <c r="F25" s="311"/>
      <c r="G25" s="311"/>
      <c r="H25" s="311"/>
    </row>
    <row r="27" spans="1:8" ht="158.25" customHeight="1" x14ac:dyDescent="0.25">
      <c r="A27" s="328" t="s">
        <v>322</v>
      </c>
      <c r="B27" s="328"/>
      <c r="C27" s="328"/>
      <c r="D27" s="328"/>
      <c r="E27" s="328"/>
      <c r="F27" s="328"/>
      <c r="G27" s="328"/>
      <c r="H27" s="328"/>
    </row>
    <row r="29" spans="1:8" ht="33.75" customHeight="1" x14ac:dyDescent="0.25">
      <c r="A29" s="327" t="s">
        <v>257</v>
      </c>
      <c r="B29" s="327"/>
      <c r="C29" s="327"/>
      <c r="D29" s="327"/>
      <c r="E29" s="327"/>
      <c r="F29" s="327"/>
      <c r="G29" s="327"/>
      <c r="H29" s="327"/>
    </row>
    <row r="30" spans="1:8" x14ac:dyDescent="0.25">
      <c r="A30" s="172"/>
      <c r="B30" s="172"/>
      <c r="C30" s="172"/>
      <c r="D30" s="172"/>
      <c r="E30" s="172"/>
      <c r="F30" s="172"/>
      <c r="G30" s="172"/>
      <c r="H30" s="172"/>
    </row>
    <row r="31" spans="1:8" ht="36.75" customHeight="1" x14ac:dyDescent="0.25">
      <c r="A31" s="326" t="s">
        <v>325</v>
      </c>
      <c r="B31" s="326"/>
      <c r="C31" s="326"/>
      <c r="D31" s="326"/>
      <c r="E31" s="326"/>
      <c r="F31" s="326"/>
      <c r="G31" s="326"/>
      <c r="H31" s="326"/>
    </row>
    <row r="32" spans="1:8" ht="213" customHeight="1" x14ac:dyDescent="0.25">
      <c r="A32" s="311" t="s">
        <v>264</v>
      </c>
      <c r="B32" s="311"/>
      <c r="C32" s="311"/>
      <c r="D32" s="311"/>
      <c r="E32" s="311"/>
      <c r="F32" s="311"/>
      <c r="G32" s="311"/>
      <c r="H32" s="311"/>
    </row>
    <row r="33" spans="1:8" x14ac:dyDescent="0.25">
      <c r="A33" s="50"/>
      <c r="B33" s="50"/>
      <c r="C33" s="50"/>
      <c r="D33" s="50"/>
      <c r="E33" s="50"/>
      <c r="F33" s="50"/>
      <c r="G33" s="50"/>
      <c r="H33" s="50"/>
    </row>
    <row r="34" spans="1:8" ht="82.5" customHeight="1" x14ac:dyDescent="0.25">
      <c r="A34" s="326" t="s">
        <v>339</v>
      </c>
      <c r="B34" s="326"/>
      <c r="C34" s="326"/>
      <c r="D34" s="326"/>
      <c r="E34" s="326"/>
      <c r="F34" s="326"/>
      <c r="G34" s="326"/>
      <c r="H34" s="326"/>
    </row>
    <row r="35" spans="1:8" x14ac:dyDescent="0.25">
      <c r="A35" s="37"/>
      <c r="B35" s="37"/>
      <c r="C35" s="37"/>
      <c r="D35" s="37"/>
      <c r="E35" s="37"/>
      <c r="F35" s="37"/>
      <c r="G35" s="37"/>
      <c r="H35" s="37"/>
    </row>
    <row r="36" spans="1:8" ht="67.5" customHeight="1" x14ac:dyDescent="0.25">
      <c r="A36" s="311" t="str">
        <f>+"Al precio de la propuesta (menor precio) se le asignará: "&amp;Datos!R57&amp;" 
Al cumplir con las condiciones técnicas (calidad): "&amp;Datos!R58&amp;"
A las demás propuestas se les asignará valores inferiores al criterio de evaluador."</f>
        <v>Al precio de la propuesta (menor precio) se le asignará: 70% 
Al cumplir con las condiciones técnicas (calidad): 30%
A las demás propuestas se les asignará valores inferiores al criterio de evaluador.</v>
      </c>
      <c r="B36" s="311"/>
      <c r="C36" s="311"/>
      <c r="D36" s="311"/>
      <c r="E36" s="311"/>
      <c r="F36" s="311"/>
      <c r="G36" s="311"/>
      <c r="H36" s="311"/>
    </row>
    <row r="37" spans="1:8" x14ac:dyDescent="0.25">
      <c r="A37" s="174"/>
      <c r="B37" s="174"/>
      <c r="C37" s="174"/>
      <c r="D37" s="174"/>
      <c r="E37" s="174"/>
      <c r="F37" s="174"/>
      <c r="G37" s="174"/>
      <c r="H37" s="174"/>
    </row>
    <row r="38" spans="1:8" ht="84" customHeight="1" x14ac:dyDescent="0.25">
      <c r="A38" s="311" t="s">
        <v>334</v>
      </c>
      <c r="B38" s="311"/>
      <c r="C38" s="311"/>
      <c r="D38" s="311"/>
      <c r="E38" s="311"/>
      <c r="F38" s="311"/>
      <c r="G38" s="311"/>
      <c r="H38" s="311"/>
    </row>
    <row r="39" spans="1:8" x14ac:dyDescent="0.25">
      <c r="A39" s="50"/>
      <c r="B39" s="50"/>
      <c r="C39" s="50"/>
      <c r="D39" s="50"/>
      <c r="E39" s="50"/>
      <c r="F39" s="50"/>
      <c r="G39" s="50"/>
      <c r="H39" s="50"/>
    </row>
    <row r="40" spans="1:8" ht="36.75" customHeight="1" x14ac:dyDescent="0.25">
      <c r="A40" s="311" t="s">
        <v>192</v>
      </c>
      <c r="B40" s="311"/>
      <c r="C40" s="311"/>
      <c r="D40" s="311"/>
      <c r="E40" s="311"/>
      <c r="F40" s="311"/>
      <c r="G40" s="311"/>
      <c r="H40" s="311"/>
    </row>
    <row r="41" spans="1:8" x14ac:dyDescent="0.25">
      <c r="A41" s="50"/>
      <c r="B41" s="50"/>
      <c r="C41" s="50"/>
      <c r="D41" s="50"/>
      <c r="E41" s="50"/>
      <c r="F41" s="50"/>
      <c r="G41" s="50"/>
      <c r="H41" s="50"/>
    </row>
    <row r="42" spans="1:8" x14ac:dyDescent="0.25">
      <c r="A42" s="332" t="s">
        <v>193</v>
      </c>
      <c r="B42" s="332"/>
      <c r="C42" s="332"/>
      <c r="D42" s="332"/>
      <c r="E42" s="332"/>
      <c r="F42" s="332"/>
      <c r="G42" s="332"/>
      <c r="H42" s="332"/>
    </row>
    <row r="43" spans="1:8" x14ac:dyDescent="0.25">
      <c r="A43" s="37"/>
      <c r="B43" s="37"/>
      <c r="C43" s="37"/>
      <c r="D43" s="37"/>
      <c r="E43" s="37"/>
      <c r="F43" s="37"/>
      <c r="G43" s="37"/>
      <c r="H43" s="37"/>
    </row>
    <row r="44" spans="1:8" x14ac:dyDescent="0.25">
      <c r="A44" s="337" t="s">
        <v>147</v>
      </c>
      <c r="B44" s="337"/>
      <c r="C44" s="337"/>
      <c r="D44" s="337"/>
      <c r="E44" s="337" t="s">
        <v>150</v>
      </c>
      <c r="F44" s="337"/>
      <c r="G44" s="337" t="s">
        <v>149</v>
      </c>
      <c r="H44" s="337"/>
    </row>
    <row r="45" spans="1:8" ht="45" customHeight="1" x14ac:dyDescent="0.25">
      <c r="A45" s="339" t="s">
        <v>148</v>
      </c>
      <c r="B45" s="339"/>
      <c r="C45" s="339"/>
      <c r="D45" s="339"/>
      <c r="E45" s="340" t="str">
        <f>Datos!J49</f>
        <v>13 de junio de 2020</v>
      </c>
      <c r="F45" s="340"/>
      <c r="G45" s="340" t="s">
        <v>340</v>
      </c>
      <c r="H45" s="340"/>
    </row>
    <row r="46" spans="1:8" ht="74.25" customHeight="1" x14ac:dyDescent="0.25">
      <c r="A46" s="339" t="s">
        <v>207</v>
      </c>
      <c r="B46" s="339"/>
      <c r="C46" s="339"/>
      <c r="D46" s="339"/>
      <c r="E46" s="340" t="str">
        <f>+"Hasta el  "&amp;Datos!J51&amp;""</f>
        <v>Hasta el  16 de junio de 2020</v>
      </c>
      <c r="F46" s="340"/>
      <c r="G46" s="340" t="s">
        <v>362</v>
      </c>
      <c r="H46" s="340"/>
    </row>
    <row r="47" spans="1:8" ht="62.25" customHeight="1" x14ac:dyDescent="0.25">
      <c r="A47" s="339" t="s">
        <v>208</v>
      </c>
      <c r="B47" s="339"/>
      <c r="C47" s="339"/>
      <c r="D47" s="339"/>
      <c r="E47" s="340" t="str">
        <f>Datos!J53</f>
        <v>16 de junio de 2020</v>
      </c>
      <c r="F47" s="340"/>
      <c r="G47" s="340" t="s">
        <v>341</v>
      </c>
      <c r="H47" s="340"/>
    </row>
    <row r="48" spans="1:8" ht="60" customHeight="1" x14ac:dyDescent="0.25">
      <c r="A48" s="339" t="s">
        <v>209</v>
      </c>
      <c r="B48" s="339"/>
      <c r="C48" s="339"/>
      <c r="D48" s="339"/>
      <c r="E48" s="340" t="str">
        <f>Datos!J57</f>
        <v>16 de junio de 2020</v>
      </c>
      <c r="F48" s="340"/>
      <c r="G48" s="340" t="s">
        <v>341</v>
      </c>
      <c r="H48" s="340"/>
    </row>
    <row r="49" spans="1:8" ht="81.75" customHeight="1" x14ac:dyDescent="0.25">
      <c r="A49" s="339" t="s">
        <v>96</v>
      </c>
      <c r="B49" s="339"/>
      <c r="C49" s="339"/>
      <c r="D49" s="339"/>
      <c r="E49" s="340" t="str">
        <f>Datos!J59</f>
        <v>17 de junio de 2020</v>
      </c>
      <c r="F49" s="340"/>
      <c r="G49" s="340" t="s">
        <v>342</v>
      </c>
      <c r="H49" s="340"/>
    </row>
    <row r="50" spans="1:8" ht="71.25" customHeight="1" x14ac:dyDescent="0.25">
      <c r="A50" s="339" t="s">
        <v>152</v>
      </c>
      <c r="B50" s="339"/>
      <c r="C50" s="339"/>
      <c r="D50" s="339"/>
      <c r="E50" s="340" t="str">
        <f>Datos!J61</f>
        <v>18 de junio de 2020</v>
      </c>
      <c r="F50" s="340"/>
      <c r="G50" s="340" t="s">
        <v>341</v>
      </c>
      <c r="H50" s="340"/>
    </row>
    <row r="51" spans="1:8" ht="65.25" customHeight="1" x14ac:dyDescent="0.25">
      <c r="A51" s="339" t="s">
        <v>153</v>
      </c>
      <c r="B51" s="339"/>
      <c r="C51" s="339"/>
      <c r="D51" s="339"/>
      <c r="E51" s="341" t="str">
        <f>Datos!J63</f>
        <v>19 de junio de 2020</v>
      </c>
      <c r="F51" s="340"/>
      <c r="G51" s="340" t="s">
        <v>341</v>
      </c>
      <c r="H51" s="340"/>
    </row>
    <row r="52" spans="1:8" ht="60.75" customHeight="1" x14ac:dyDescent="0.25">
      <c r="A52" s="339" t="s">
        <v>201</v>
      </c>
      <c r="B52" s="339"/>
      <c r="C52" s="339"/>
      <c r="D52" s="339"/>
      <c r="E52" s="341" t="str">
        <f>+Datos!J65</f>
        <v>19 de junio de 2020</v>
      </c>
      <c r="F52" s="340"/>
      <c r="G52" s="340" t="s">
        <v>341</v>
      </c>
      <c r="H52" s="340"/>
    </row>
    <row r="53" spans="1:8" x14ac:dyDescent="0.25">
      <c r="A53" s="338"/>
      <c r="B53" s="338"/>
      <c r="C53" s="338"/>
      <c r="D53" s="338"/>
      <c r="E53" s="338"/>
      <c r="F53" s="338"/>
      <c r="G53" s="338"/>
      <c r="H53" s="338"/>
    </row>
    <row r="54" spans="1:8" ht="51" customHeight="1" x14ac:dyDescent="0.25">
      <c r="A54" s="326" t="str">
        <f>+"PUBLICACIÓN:   La publicación del presente aviso se realiza en la Página Web www.ieajva.edu.co, en las fechas: del "&amp;Datos!J49&amp;" "&amp;E46&amp;", en los horarios estipulados por la Rectoría."</f>
        <v>PUBLICACIÓN:   La publicación del presente aviso se realiza en la Página Web www.ieajva.edu.co, en las fechas: del 13 de junio de 2020 Hasta el  16 de junio de 2020, en los horarios estipulados por la Rectoría.</v>
      </c>
      <c r="B54" s="326"/>
      <c r="C54" s="326"/>
      <c r="D54" s="326"/>
      <c r="E54" s="326"/>
      <c r="F54" s="326"/>
      <c r="G54" s="326"/>
      <c r="H54" s="326"/>
    </row>
    <row r="55" spans="1:8" x14ac:dyDescent="0.25">
      <c r="A55" s="214"/>
      <c r="B55" s="214"/>
      <c r="C55" s="214"/>
      <c r="D55" s="214"/>
      <c r="E55" s="214"/>
      <c r="F55" s="214"/>
      <c r="G55" s="214"/>
      <c r="H55" s="214"/>
    </row>
    <row r="56" spans="1:8" x14ac:dyDescent="0.25">
      <c r="A56" s="214"/>
      <c r="B56" s="214"/>
      <c r="C56" s="214"/>
      <c r="D56" s="214"/>
      <c r="E56" s="214"/>
      <c r="F56" s="214"/>
      <c r="G56" s="214"/>
      <c r="H56" s="214"/>
    </row>
    <row r="57" spans="1:8" x14ac:dyDescent="0.25">
      <c r="A57" s="37"/>
      <c r="B57" s="37"/>
      <c r="C57" s="37"/>
      <c r="D57" s="37"/>
      <c r="E57" s="37"/>
      <c r="F57" s="37"/>
      <c r="G57" s="37"/>
      <c r="H57" s="37"/>
    </row>
    <row r="58" spans="1:8" x14ac:dyDescent="0.25">
      <c r="A58" s="37"/>
      <c r="B58" s="37"/>
      <c r="C58" s="37"/>
      <c r="D58" s="37"/>
      <c r="E58" s="37"/>
      <c r="F58" s="37"/>
      <c r="G58" s="37"/>
      <c r="H58" s="37"/>
    </row>
    <row r="59" spans="1:8" ht="35.25" customHeight="1" x14ac:dyDescent="0.25">
      <c r="B59" s="25"/>
      <c r="C59" s="306" t="str">
        <f>+'Est Prev'!D44:D44</f>
        <v>CARLOS MARIO GIRALDO JIMENEZ
Rector</v>
      </c>
      <c r="D59" s="306"/>
      <c r="E59" s="306"/>
      <c r="F59" s="25"/>
      <c r="G59" s="25"/>
      <c r="H59" s="25"/>
    </row>
    <row r="61" spans="1:8" x14ac:dyDescent="0.25">
      <c r="A61" t="s">
        <v>236</v>
      </c>
      <c r="B61" s="343" t="str">
        <f>+Datos!J49</f>
        <v>13 de junio de 2020</v>
      </c>
      <c r="C61" s="343"/>
      <c r="D61" s="343"/>
    </row>
  </sheetData>
  <mergeCells count="61">
    <mergeCell ref="C14:H14"/>
    <mergeCell ref="A19:H19"/>
    <mergeCell ref="A23:H23"/>
    <mergeCell ref="A32:H32"/>
    <mergeCell ref="B61:D61"/>
    <mergeCell ref="G46:H46"/>
    <mergeCell ref="A14:B14"/>
    <mergeCell ref="A42:H42"/>
    <mergeCell ref="C15:H15"/>
    <mergeCell ref="A15:B15"/>
    <mergeCell ref="A16:B16"/>
    <mergeCell ref="A27:H27"/>
    <mergeCell ref="A25:H25"/>
    <mergeCell ref="E52:F52"/>
    <mergeCell ref="G52:H52"/>
    <mergeCell ref="A51:D51"/>
    <mergeCell ref="E51:F51"/>
    <mergeCell ref="A1:H1"/>
    <mergeCell ref="A21:H21"/>
    <mergeCell ref="A47:D47"/>
    <mergeCell ref="E47:F47"/>
    <mergeCell ref="G47:H47"/>
    <mergeCell ref="G45:H45"/>
    <mergeCell ref="A12:H12"/>
    <mergeCell ref="C16:H16"/>
    <mergeCell ref="A2:H2"/>
    <mergeCell ref="A4:H4"/>
    <mergeCell ref="A29:H29"/>
    <mergeCell ref="A36:H36"/>
    <mergeCell ref="A6:H6"/>
    <mergeCell ref="A8:H8"/>
    <mergeCell ref="A10:H10"/>
    <mergeCell ref="G50:H50"/>
    <mergeCell ref="A49:D49"/>
    <mergeCell ref="A34:H34"/>
    <mergeCell ref="A48:D48"/>
    <mergeCell ref="E48:F48"/>
    <mergeCell ref="G48:H48"/>
    <mergeCell ref="A45:D45"/>
    <mergeCell ref="E45:F45"/>
    <mergeCell ref="E44:F44"/>
    <mergeCell ref="A46:D46"/>
    <mergeCell ref="G49:H49"/>
    <mergeCell ref="E50:F50"/>
    <mergeCell ref="E46:F46"/>
    <mergeCell ref="C17:H17"/>
    <mergeCell ref="A17:B17"/>
    <mergeCell ref="C59:E59"/>
    <mergeCell ref="A54:H54"/>
    <mergeCell ref="A31:H31"/>
    <mergeCell ref="A44:D44"/>
    <mergeCell ref="A38:H38"/>
    <mergeCell ref="A40:H40"/>
    <mergeCell ref="G44:H44"/>
    <mergeCell ref="A53:D53"/>
    <mergeCell ref="E53:F53"/>
    <mergeCell ref="G53:H53"/>
    <mergeCell ref="A50:D50"/>
    <mergeCell ref="E49:F49"/>
    <mergeCell ref="A52:D52"/>
    <mergeCell ref="G51:H51"/>
  </mergeCells>
  <printOptions horizontalCentered="1"/>
  <pageMargins left="0.4" right="0.27559055118110237" top="1.74" bottom="1.1100000000000001" header="0.31496062992125984" footer="0.2"/>
  <pageSetup paperSize="9" scale="96" orientation="portrait" r:id="rId1"/>
  <headerFooter>
    <oddHeader>&amp;C&amp;G</oddHeader>
    <oddFooter>&amp;C&amp;G
Página &amp;P de &amp;N&amp;RInvitación Pública</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Layout" topLeftCell="A16" zoomScaleNormal="100" workbookViewId="0">
      <selection activeCell="F21" sqref="F21"/>
    </sheetView>
  </sheetViews>
  <sheetFormatPr baseColWidth="10" defaultRowHeight="15" x14ac:dyDescent="0.25"/>
  <cols>
    <col min="1" max="1" width="5.85546875" customWidth="1"/>
    <col min="3" max="3" width="16.28515625" customWidth="1"/>
    <col min="4" max="4" width="4.7109375" customWidth="1"/>
    <col min="5" max="5" width="10.5703125" customWidth="1"/>
    <col min="8" max="8" width="11.140625" customWidth="1"/>
    <col min="9" max="9" width="17.5703125" customWidth="1"/>
  </cols>
  <sheetData>
    <row r="1" spans="1:9" ht="18" customHeight="1" x14ac:dyDescent="0.25">
      <c r="A1" s="344" t="s">
        <v>103</v>
      </c>
      <c r="B1" s="344"/>
      <c r="C1" s="344"/>
      <c r="D1" s="344"/>
      <c r="E1" s="344"/>
      <c r="F1" s="344"/>
      <c r="G1" s="344"/>
      <c r="H1" s="344"/>
      <c r="I1" s="344"/>
    </row>
    <row r="2" spans="1:9" ht="18" customHeight="1" x14ac:dyDescent="0.25">
      <c r="A2" s="345" t="str">
        <f>+"Según Invitación Pública No. IP. "&amp;Datos!C18&amp;""</f>
        <v>Según Invitación Pública No. IP. 007- 06-2020</v>
      </c>
      <c r="B2" s="345"/>
      <c r="C2" s="345"/>
      <c r="D2" s="345"/>
      <c r="E2" s="345"/>
      <c r="F2" s="345"/>
      <c r="G2" s="345"/>
      <c r="H2" s="345"/>
      <c r="I2" s="345"/>
    </row>
    <row r="3" spans="1:9" ht="18" customHeight="1" x14ac:dyDescent="0.25"/>
    <row r="4" spans="1:9" ht="37.5" customHeight="1" x14ac:dyDescent="0.25">
      <c r="A4" s="349" t="str">
        <f>+"Cuyo objeto es: "&amp;Datos!C8&amp;"."</f>
        <v>Cuyo objeto es: Compra de materiales tecnologicos.</v>
      </c>
      <c r="B4" s="349"/>
      <c r="C4" s="349"/>
      <c r="D4" s="349"/>
      <c r="E4" s="349"/>
      <c r="F4" s="349"/>
      <c r="G4" s="349"/>
      <c r="H4" s="349"/>
      <c r="I4" s="349"/>
    </row>
    <row r="5" spans="1:9" ht="15" customHeight="1" x14ac:dyDescent="0.25">
      <c r="A5" s="5"/>
      <c r="B5" s="5"/>
      <c r="C5" s="5"/>
      <c r="D5" s="5"/>
      <c r="E5" s="5"/>
      <c r="F5" s="5"/>
      <c r="G5" s="5"/>
      <c r="H5" s="5"/>
      <c r="I5" s="5"/>
    </row>
    <row r="7" spans="1:9" ht="24.75" customHeight="1" x14ac:dyDescent="0.25">
      <c r="A7" s="53" t="s">
        <v>104</v>
      </c>
      <c r="B7" s="350" t="s">
        <v>105</v>
      </c>
      <c r="C7" s="350"/>
      <c r="D7" s="350"/>
      <c r="E7" s="350"/>
      <c r="F7" s="350" t="s">
        <v>106</v>
      </c>
      <c r="G7" s="350"/>
      <c r="H7" s="350"/>
      <c r="I7" s="350"/>
    </row>
    <row r="8" spans="1:9" ht="35.1" customHeight="1" x14ac:dyDescent="0.25">
      <c r="A8" s="53">
        <v>1</v>
      </c>
      <c r="B8" s="351" t="s">
        <v>371</v>
      </c>
      <c r="C8" s="351"/>
      <c r="D8" s="351"/>
      <c r="E8" s="351"/>
      <c r="F8" s="352" t="s">
        <v>372</v>
      </c>
      <c r="G8" s="352"/>
      <c r="H8" s="352"/>
      <c r="I8" s="352"/>
    </row>
    <row r="9" spans="1:9" ht="35.1" customHeight="1" x14ac:dyDescent="0.25">
      <c r="A9" s="53">
        <v>2</v>
      </c>
      <c r="B9" s="351"/>
      <c r="C9" s="351"/>
      <c r="D9" s="351"/>
      <c r="E9" s="351"/>
      <c r="F9" s="352"/>
      <c r="G9" s="352"/>
      <c r="H9" s="352"/>
      <c r="I9" s="352"/>
    </row>
    <row r="10" spans="1:9" ht="35.1" customHeight="1" x14ac:dyDescent="0.25">
      <c r="A10" s="53">
        <v>3</v>
      </c>
      <c r="B10" s="351"/>
      <c r="C10" s="351"/>
      <c r="D10" s="351"/>
      <c r="E10" s="351"/>
      <c r="F10" s="352"/>
      <c r="G10" s="352"/>
      <c r="H10" s="352"/>
      <c r="I10" s="352"/>
    </row>
    <row r="11" spans="1:9" ht="35.1" customHeight="1" x14ac:dyDescent="0.25">
      <c r="A11" s="54">
        <v>4</v>
      </c>
      <c r="B11" s="346"/>
      <c r="C11" s="347"/>
      <c r="D11" s="347"/>
      <c r="E11" s="348"/>
      <c r="F11" s="346"/>
      <c r="G11" s="347"/>
      <c r="H11" s="347"/>
      <c r="I11" s="348"/>
    </row>
    <row r="15" spans="1:9" ht="15.75" customHeight="1" x14ac:dyDescent="0.25">
      <c r="A15" s="353" t="s">
        <v>210</v>
      </c>
      <c r="B15" s="353"/>
      <c r="C15" s="353"/>
      <c r="D15" s="353"/>
      <c r="E15" s="353"/>
      <c r="F15" s="353"/>
      <c r="G15" s="353"/>
      <c r="H15" s="353"/>
      <c r="I15" s="353"/>
    </row>
    <row r="16" spans="1:9" ht="15.75" customHeight="1" x14ac:dyDescent="0.25">
      <c r="A16" s="353"/>
      <c r="B16" s="353"/>
      <c r="C16" s="353"/>
      <c r="D16" s="353"/>
      <c r="E16" s="353"/>
      <c r="F16" s="353"/>
      <c r="G16" s="353"/>
      <c r="H16" s="353"/>
      <c r="I16" s="353"/>
    </row>
    <row r="17" spans="1:9" ht="15.75" x14ac:dyDescent="0.25">
      <c r="A17" s="6"/>
    </row>
    <row r="18" spans="1:9" ht="15.75" x14ac:dyDescent="0.25">
      <c r="A18" s="6"/>
    </row>
    <row r="19" spans="1:9" ht="15.75" x14ac:dyDescent="0.25">
      <c r="A19" s="6"/>
    </row>
    <row r="20" spans="1:9" ht="15.75" x14ac:dyDescent="0.25">
      <c r="A20" s="6"/>
    </row>
    <row r="21" spans="1:9" ht="15.75" x14ac:dyDescent="0.25">
      <c r="A21" s="6"/>
    </row>
    <row r="22" spans="1:9" ht="15.75" x14ac:dyDescent="0.25">
      <c r="A22" s="6"/>
    </row>
    <row r="23" spans="1:9" ht="33" customHeight="1" x14ac:dyDescent="0.25">
      <c r="B23" s="25"/>
      <c r="C23" s="25"/>
      <c r="D23" s="306" t="str">
        <f>+Datos!B51</f>
        <v>CARLOS MARIO GIRALDO JIMENEZ
Rector</v>
      </c>
      <c r="E23" s="306"/>
      <c r="F23" s="306"/>
      <c r="G23" s="306"/>
      <c r="H23" s="25"/>
      <c r="I23" s="25"/>
    </row>
    <row r="25" spans="1:9" x14ac:dyDescent="0.25">
      <c r="A25" s="7"/>
    </row>
    <row r="26" spans="1:9" x14ac:dyDescent="0.25">
      <c r="A26" s="7"/>
    </row>
  </sheetData>
  <mergeCells count="15">
    <mergeCell ref="A1:I1"/>
    <mergeCell ref="A2:I2"/>
    <mergeCell ref="D23:G23"/>
    <mergeCell ref="F11:I11"/>
    <mergeCell ref="B11:E11"/>
    <mergeCell ref="A4:I4"/>
    <mergeCell ref="B7:E7"/>
    <mergeCell ref="F7:I7"/>
    <mergeCell ref="B8:E8"/>
    <mergeCell ref="F8:I8"/>
    <mergeCell ref="B9:E9"/>
    <mergeCell ref="F9:I9"/>
    <mergeCell ref="B10:E10"/>
    <mergeCell ref="F10:I10"/>
    <mergeCell ref="A15:I16"/>
  </mergeCells>
  <printOptions horizontalCentered="1" verticalCentered="1"/>
  <pageMargins left="0.15748031496062992" right="0.43307086614173229" top="1.7020833333333334" bottom="1.0489583333333334" header="0.31496062992125984" footer="0.19791666666666666"/>
  <pageSetup scale="95" orientation="portrait" r:id="rId1"/>
  <headerFooter>
    <oddHeader>&amp;C&amp;G</oddHeader>
    <oddFooter>&amp;C&amp;G
Página &amp;P de &amp;N&amp;RActa de Recepción de Propuestas</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view="pageLayout" topLeftCell="A16" zoomScaleNormal="100" workbookViewId="0">
      <selection activeCell="D18" sqref="D18"/>
    </sheetView>
  </sheetViews>
  <sheetFormatPr baseColWidth="10" defaultRowHeight="15" x14ac:dyDescent="0.25"/>
  <cols>
    <col min="1" max="1" width="9.42578125" customWidth="1"/>
    <col min="2" max="2" width="13.28515625" customWidth="1"/>
    <col min="3" max="3" width="12.28515625" customWidth="1"/>
    <col min="4" max="4" width="13.7109375" customWidth="1"/>
    <col min="5" max="5" width="15.42578125" customWidth="1"/>
    <col min="6" max="6" width="3.7109375" customWidth="1"/>
    <col min="7" max="7" width="14.28515625" customWidth="1"/>
    <col min="8" max="8" width="8.5703125" customWidth="1"/>
  </cols>
  <sheetData>
    <row r="1" spans="1:8" ht="18.75" x14ac:dyDescent="0.25">
      <c r="A1" s="356" t="s">
        <v>107</v>
      </c>
      <c r="B1" s="356"/>
      <c r="C1" s="356"/>
      <c r="D1" s="356"/>
      <c r="E1" s="356"/>
      <c r="F1" s="356"/>
      <c r="G1" s="356"/>
      <c r="H1" s="356"/>
    </row>
    <row r="2" spans="1:8" x14ac:dyDescent="0.25">
      <c r="A2" s="357" t="str">
        <f>+"Para la Invitación Pública No. IP. "&amp;Datos!C18&amp;""</f>
        <v>Para la Invitación Pública No. IP. 007- 06-2020</v>
      </c>
      <c r="B2" s="357"/>
      <c r="C2" s="357"/>
      <c r="D2" s="357"/>
      <c r="E2" s="357"/>
      <c r="F2" s="357"/>
      <c r="G2" s="357"/>
      <c r="H2" s="357"/>
    </row>
    <row r="4" spans="1:8" ht="36.75" customHeight="1" x14ac:dyDescent="0.25">
      <c r="A4" s="365" t="str">
        <f>+"En el correo mariogiraldo2011@gmail.com de la "&amp;Datos!B49&amp;" se presentaron las siguientes ofertas para el proceso de contratación cuyo objeto es: "</f>
        <v xml:space="preserve">En el correo mariogiraldo2011@gmail.com de la INSTITUCIÓN EDUCATIVA JOAQUIN VALLEJO ARBELAEZ se presentaron las siguientes ofertas para el proceso de contratación cuyo objeto es: </v>
      </c>
      <c r="B4" s="365"/>
      <c r="C4" s="365"/>
      <c r="D4" s="365"/>
      <c r="E4" s="365"/>
      <c r="F4" s="365"/>
      <c r="G4" s="365"/>
      <c r="H4" s="365"/>
    </row>
    <row r="6" spans="1:8" ht="48" customHeight="1" x14ac:dyDescent="0.25">
      <c r="A6" s="358" t="str">
        <f>Datos!C8</f>
        <v>Compra de materiales tecnologicos</v>
      </c>
      <c r="B6" s="358"/>
      <c r="C6" s="358"/>
      <c r="D6" s="358"/>
      <c r="E6" s="358"/>
      <c r="F6" s="358"/>
      <c r="G6" s="358"/>
      <c r="H6" s="358"/>
    </row>
    <row r="7" spans="1:8" x14ac:dyDescent="0.25">
      <c r="A7" s="8"/>
      <c r="B7" s="8"/>
      <c r="C7" s="8"/>
      <c r="D7" s="8"/>
      <c r="E7" s="8"/>
      <c r="F7" s="8"/>
      <c r="G7" s="8"/>
      <c r="H7" s="8"/>
    </row>
    <row r="8" spans="1:8" ht="30" x14ac:dyDescent="0.25">
      <c r="A8" s="9" t="s">
        <v>108</v>
      </c>
      <c r="B8" s="10" t="s">
        <v>109</v>
      </c>
      <c r="C8" s="359" t="s">
        <v>110</v>
      </c>
      <c r="D8" s="360"/>
      <c r="E8" s="360"/>
      <c r="F8" s="361"/>
      <c r="G8" s="9" t="s">
        <v>33</v>
      </c>
      <c r="H8" s="9" t="s">
        <v>111</v>
      </c>
    </row>
    <row r="9" spans="1:8" x14ac:dyDescent="0.25">
      <c r="A9" s="11">
        <f>+Datos!N17</f>
        <v>1</v>
      </c>
      <c r="B9" s="56">
        <f>IF(ISBLANK(Datos!W17),"",(Datos!W17))</f>
        <v>1350000</v>
      </c>
      <c r="C9" s="362" t="str">
        <f>IF(ISBLANK(Datos!O17),"",(Datos!O17))</f>
        <v>JOSE ALEXANDER ARBOLEDA CARDONA</v>
      </c>
      <c r="D9" s="363"/>
      <c r="E9" s="363"/>
      <c r="F9" s="364"/>
      <c r="G9" s="55" t="str">
        <f>IF(ISBLANK(Datos!U17),"",(Datos!U17))</f>
        <v>71,377,271-6</v>
      </c>
      <c r="H9" s="11">
        <f>IF(ISBLANK(Datos!X17),"",(Datos!X17))</f>
        <v>25</v>
      </c>
    </row>
    <row r="10" spans="1:8" x14ac:dyDescent="0.25">
      <c r="A10" s="8"/>
      <c r="B10" s="8"/>
      <c r="C10" s="8"/>
      <c r="D10" s="8"/>
      <c r="E10" s="8"/>
      <c r="F10" s="8"/>
      <c r="G10" s="8"/>
      <c r="H10" s="8"/>
    </row>
    <row r="11" spans="1:8" x14ac:dyDescent="0.25">
      <c r="A11" s="8"/>
      <c r="B11" s="8"/>
      <c r="C11" s="8"/>
      <c r="D11" s="8"/>
      <c r="E11" s="8"/>
      <c r="F11" s="8"/>
      <c r="G11" s="8"/>
      <c r="H11" s="8"/>
    </row>
    <row r="14" spans="1:8" x14ac:dyDescent="0.25">
      <c r="A14" s="354" t="str">
        <f>+"Para constancia, se firma en la fecha: "&amp;Datos!J53&amp;"."</f>
        <v>Para constancia, se firma en la fecha: 16 de junio de 2020.</v>
      </c>
      <c r="B14" s="354"/>
      <c r="C14" s="354"/>
      <c r="D14" s="354"/>
      <c r="E14" s="354"/>
      <c r="F14" s="354"/>
      <c r="G14" s="354"/>
      <c r="H14" s="354"/>
    </row>
    <row r="20" spans="1:8" ht="32.25" customHeight="1" x14ac:dyDescent="0.25">
      <c r="B20" s="57"/>
      <c r="C20" s="306" t="str">
        <f>+RecepProp!D23</f>
        <v>CARLOS MARIO GIRALDO JIMENEZ
Rector</v>
      </c>
      <c r="D20" s="306"/>
      <c r="E20" s="306"/>
      <c r="F20" s="306"/>
      <c r="G20" s="57"/>
      <c r="H20" s="57"/>
    </row>
    <row r="21" spans="1:8" ht="15.75" x14ac:dyDescent="0.25">
      <c r="A21" s="6"/>
    </row>
    <row r="22" spans="1:8" ht="15.75" x14ac:dyDescent="0.25">
      <c r="A22" s="6"/>
    </row>
    <row r="24" spans="1:8" x14ac:dyDescent="0.25">
      <c r="A24" s="355" t="str">
        <f>"Fecha de desfije de la Invitación: "&amp;Datos!J53&amp;""</f>
        <v>Fecha de desfije de la Invitación: 16 de junio de 2020</v>
      </c>
      <c r="B24" s="355"/>
      <c r="C24" s="355"/>
      <c r="D24" s="355"/>
    </row>
    <row r="25" spans="1:8" x14ac:dyDescent="0.25">
      <c r="D25" s="36"/>
    </row>
    <row r="26" spans="1:8" x14ac:dyDescent="0.25">
      <c r="D26" s="36"/>
    </row>
  </sheetData>
  <mergeCells count="9">
    <mergeCell ref="A14:H14"/>
    <mergeCell ref="C20:F20"/>
    <mergeCell ref="A24:D24"/>
    <mergeCell ref="A1:H1"/>
    <mergeCell ref="A2:H2"/>
    <mergeCell ref="A6:H6"/>
    <mergeCell ref="C8:F8"/>
    <mergeCell ref="C9:F9"/>
    <mergeCell ref="A4:H4"/>
  </mergeCells>
  <printOptions horizontalCentered="1"/>
  <pageMargins left="0.70866141732283472" right="0.70866141732283472" top="1.7428125000000001" bottom="1.0828125" header="0.31496062992125984" footer="0.19593749999999999"/>
  <pageSetup orientation="portrait" r:id="rId1"/>
  <headerFooter>
    <oddHeader>&amp;C&amp;G</oddHeader>
    <oddFooter>&amp;C&amp;G
Página &amp;P de &amp;N&amp;RActa de Cierre</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Layout" topLeftCell="A46" zoomScaleNormal="85" workbookViewId="0">
      <selection activeCell="F47" sqref="F47:F48"/>
    </sheetView>
  </sheetViews>
  <sheetFormatPr baseColWidth="10" defaultRowHeight="15" x14ac:dyDescent="0.25"/>
  <cols>
    <col min="1" max="1" width="1.7109375" customWidth="1"/>
    <col min="2" max="2" width="12" customWidth="1"/>
    <col min="3" max="3" width="13.85546875" customWidth="1"/>
    <col min="4" max="4" width="10" customWidth="1"/>
    <col min="5" max="5" width="7.42578125" customWidth="1"/>
    <col min="6" max="6" width="6.85546875" customWidth="1"/>
    <col min="7" max="9" width="9.42578125" customWidth="1"/>
    <col min="10" max="10" width="12.28515625" customWidth="1"/>
    <col min="11" max="11" width="0.28515625" customWidth="1"/>
  </cols>
  <sheetData>
    <row r="1" spans="1:11" ht="15.75" x14ac:dyDescent="0.25">
      <c r="A1" s="379" t="s">
        <v>173</v>
      </c>
      <c r="B1" s="379"/>
      <c r="C1" s="379"/>
      <c r="D1" s="379"/>
      <c r="E1" s="379"/>
      <c r="F1" s="379"/>
      <c r="G1" s="379"/>
      <c r="H1" s="379"/>
      <c r="I1" s="379"/>
      <c r="J1" s="379"/>
      <c r="K1" s="379"/>
    </row>
    <row r="2" spans="1:11" ht="20.25" customHeight="1" x14ac:dyDescent="0.25"/>
    <row r="3" spans="1:11" x14ac:dyDescent="0.25">
      <c r="B3" s="382" t="s">
        <v>112</v>
      </c>
      <c r="C3" s="382"/>
      <c r="D3" s="383" t="str">
        <f>Datos!J57</f>
        <v>16 de junio de 2020</v>
      </c>
      <c r="E3" s="384"/>
      <c r="F3" s="382" t="str">
        <f>+"INVITACIÓN PÚBLICA No. IP. "&amp;Datos!C18&amp;""</f>
        <v>INVITACIÓN PÚBLICA No. IP. 007- 06-2020</v>
      </c>
      <c r="G3" s="382"/>
      <c r="H3" s="382"/>
      <c r="I3" s="382"/>
      <c r="J3" s="382"/>
    </row>
    <row r="4" spans="1:11" x14ac:dyDescent="0.25">
      <c r="B4" s="385" t="s">
        <v>113</v>
      </c>
      <c r="C4" s="385"/>
      <c r="D4" s="385"/>
      <c r="E4" s="385"/>
      <c r="F4" s="385"/>
      <c r="G4" s="385"/>
      <c r="H4" s="385"/>
      <c r="I4" s="385"/>
      <c r="J4" s="385"/>
    </row>
    <row r="5" spans="1:11" ht="36" customHeight="1" x14ac:dyDescent="0.25">
      <c r="B5" s="386" t="str">
        <f>Datos!C8</f>
        <v>Compra de materiales tecnologicos</v>
      </c>
      <c r="C5" s="387"/>
      <c r="D5" s="387"/>
      <c r="E5" s="387"/>
      <c r="F5" s="387"/>
      <c r="G5" s="387"/>
      <c r="H5" s="387"/>
      <c r="I5" s="387"/>
      <c r="J5" s="387"/>
    </row>
    <row r="6" spans="1:11" x14ac:dyDescent="0.25">
      <c r="B6" s="12"/>
      <c r="C6" s="13"/>
      <c r="D6" s="13"/>
      <c r="E6" s="13"/>
      <c r="F6" s="13"/>
      <c r="G6" s="13"/>
      <c r="H6" s="14"/>
      <c r="I6" s="15"/>
    </row>
    <row r="7" spans="1:11" ht="15" customHeight="1" x14ac:dyDescent="0.25">
      <c r="B7" s="388" t="s">
        <v>114</v>
      </c>
      <c r="C7" s="388"/>
      <c r="D7" s="388"/>
      <c r="E7" s="388"/>
      <c r="F7" s="388"/>
      <c r="G7" s="388"/>
      <c r="H7" s="388"/>
      <c r="I7" s="388"/>
      <c r="J7" s="388"/>
    </row>
    <row r="8" spans="1:11" ht="27.75" customHeight="1" x14ac:dyDescent="0.25">
      <c r="B8" s="2" t="s">
        <v>108</v>
      </c>
      <c r="C8" s="16" t="s">
        <v>115</v>
      </c>
      <c r="D8" s="359" t="s">
        <v>172</v>
      </c>
      <c r="E8" s="360"/>
      <c r="F8" s="360"/>
      <c r="G8" s="360"/>
      <c r="H8" s="361"/>
      <c r="I8" s="380" t="s">
        <v>33</v>
      </c>
      <c r="J8" s="380"/>
    </row>
    <row r="9" spans="1:11" ht="15" customHeight="1" x14ac:dyDescent="0.25">
      <c r="B9" s="162">
        <v>1</v>
      </c>
      <c r="C9" s="163">
        <f>IF(ISBLANK(Datos!W17),"",Datos!W17)</f>
        <v>1350000</v>
      </c>
      <c r="D9" s="366" t="str">
        <f>IF(ISBLANK(Datos!O17),"",Datos!O17)</f>
        <v>JOSE ALEXANDER ARBOLEDA CARDONA</v>
      </c>
      <c r="E9" s="366"/>
      <c r="F9" s="366"/>
      <c r="G9" s="366"/>
      <c r="H9" s="366"/>
      <c r="I9" s="381" t="str">
        <f>IF(ISBLANK(Datos!U17),"",Datos!U17)</f>
        <v>71,377,271-6</v>
      </c>
      <c r="J9" s="381"/>
    </row>
    <row r="10" spans="1:11" ht="15" customHeight="1" x14ac:dyDescent="0.25">
      <c r="B10" s="347"/>
      <c r="C10" s="347"/>
      <c r="D10" s="347"/>
      <c r="E10" s="347"/>
      <c r="F10" s="347"/>
      <c r="G10" s="347"/>
      <c r="H10" s="347"/>
      <c r="I10" s="347"/>
      <c r="J10" s="347"/>
    </row>
    <row r="11" spans="1:11" x14ac:dyDescent="0.25">
      <c r="B11" s="367" t="s">
        <v>116</v>
      </c>
      <c r="C11" s="368"/>
      <c r="D11" s="368"/>
      <c r="E11" s="368"/>
      <c r="F11" s="368"/>
      <c r="G11" s="368"/>
      <c r="H11" s="368"/>
      <c r="I11" s="368"/>
      <c r="J11" s="369"/>
    </row>
    <row r="12" spans="1:11" ht="27.75" customHeight="1" x14ac:dyDescent="0.25">
      <c r="B12" s="375" t="s">
        <v>56</v>
      </c>
      <c r="C12" s="375"/>
      <c r="D12" s="375"/>
      <c r="E12" s="375"/>
      <c r="F12" s="375"/>
      <c r="G12" s="17" t="s">
        <v>57</v>
      </c>
      <c r="H12" s="17" t="s">
        <v>58</v>
      </c>
      <c r="I12" s="17" t="s">
        <v>59</v>
      </c>
      <c r="J12" s="175" t="s">
        <v>267</v>
      </c>
    </row>
    <row r="13" spans="1:11" ht="30.75" customHeight="1" x14ac:dyDescent="0.25">
      <c r="B13" s="376" t="s">
        <v>237</v>
      </c>
      <c r="C13" s="376"/>
      <c r="D13" s="376"/>
      <c r="E13" s="376"/>
      <c r="F13" s="376"/>
      <c r="G13" s="18" t="str">
        <f>Datos!S38</f>
        <v>Cumplió</v>
      </c>
      <c r="H13" s="18" t="str">
        <f>Datos!T38</f>
        <v>N/A</v>
      </c>
      <c r="I13" s="18" t="str">
        <f>Datos!U38</f>
        <v>N/A</v>
      </c>
      <c r="J13" s="18" t="str">
        <f>IF(G13="Cumplió","SI","No Requiere")</f>
        <v>SI</v>
      </c>
    </row>
    <row r="14" spans="1:11" x14ac:dyDescent="0.25">
      <c r="B14" s="1"/>
      <c r="C14" s="1"/>
      <c r="D14" s="1"/>
      <c r="E14" s="1"/>
    </row>
    <row r="15" spans="1:11" ht="13.5" customHeight="1" x14ac:dyDescent="0.25">
      <c r="B15" s="377" t="s">
        <v>69</v>
      </c>
      <c r="C15" s="377"/>
      <c r="D15" s="377"/>
      <c r="E15" s="377"/>
      <c r="F15" s="377"/>
      <c r="G15" s="377"/>
      <c r="H15" s="377"/>
      <c r="I15" s="377"/>
      <c r="J15" s="377"/>
    </row>
    <row r="16" spans="1:11" ht="25.5" x14ac:dyDescent="0.25">
      <c r="B16" s="378" t="s">
        <v>72</v>
      </c>
      <c r="C16" s="378"/>
      <c r="D16" s="378"/>
      <c r="E16" s="378"/>
      <c r="F16" s="378"/>
      <c r="G16" s="42" t="s">
        <v>57</v>
      </c>
      <c r="H16" s="42" t="s">
        <v>58</v>
      </c>
      <c r="I16" s="42" t="s">
        <v>59</v>
      </c>
      <c r="J16" s="42" t="s">
        <v>267</v>
      </c>
    </row>
    <row r="17" spans="2:10" ht="56.25" customHeight="1" x14ac:dyDescent="0.25">
      <c r="B17" s="284" t="s">
        <v>295</v>
      </c>
      <c r="C17" s="284"/>
      <c r="D17" s="284"/>
      <c r="E17" s="284"/>
      <c r="F17" s="284"/>
      <c r="G17" s="18" t="str">
        <f>Datos!S43</f>
        <v>No Requiere</v>
      </c>
      <c r="H17" s="18" t="str">
        <f>Datos!T43</f>
        <v>N/A</v>
      </c>
      <c r="I17" s="18" t="str">
        <f>Datos!U43</f>
        <v>N/A</v>
      </c>
      <c r="J17" s="18" t="str">
        <f>IF(G17="Cumplió","SI","No Requiere")</f>
        <v>No Requiere</v>
      </c>
    </row>
    <row r="18" spans="2:10" x14ac:dyDescent="0.25">
      <c r="B18" s="284" t="s">
        <v>268</v>
      </c>
      <c r="C18" s="284"/>
      <c r="D18" s="284"/>
      <c r="E18" s="284"/>
      <c r="F18" s="284"/>
      <c r="G18" s="18" t="str">
        <f>Datos!S44</f>
        <v>Cumplió</v>
      </c>
      <c r="H18" s="18" t="str">
        <f>Datos!T44</f>
        <v>N/A</v>
      </c>
      <c r="I18" s="18" t="str">
        <f>Datos!U44</f>
        <v>N/A</v>
      </c>
      <c r="J18" s="18" t="str">
        <f t="shared" ref="J18:J26" si="0">IF(G18="Cumplió","SI","No Requiere")</f>
        <v>SI</v>
      </c>
    </row>
    <row r="19" spans="2:10" x14ac:dyDescent="0.25">
      <c r="B19" s="284" t="s">
        <v>75</v>
      </c>
      <c r="C19" s="284"/>
      <c r="D19" s="284"/>
      <c r="E19" s="284"/>
      <c r="F19" s="284"/>
      <c r="G19" s="18" t="str">
        <f>Datos!S45</f>
        <v>Cumplió</v>
      </c>
      <c r="H19" s="18" t="str">
        <f>Datos!T45</f>
        <v>N/A</v>
      </c>
      <c r="I19" s="18" t="str">
        <f>Datos!U45</f>
        <v>N/A</v>
      </c>
      <c r="J19" s="18" t="str">
        <f t="shared" si="0"/>
        <v>SI</v>
      </c>
    </row>
    <row r="20" spans="2:10" ht="33" customHeight="1" x14ac:dyDescent="0.25">
      <c r="B20" s="284" t="s">
        <v>269</v>
      </c>
      <c r="C20" s="284"/>
      <c r="D20" s="284"/>
      <c r="E20" s="284"/>
      <c r="F20" s="284"/>
      <c r="G20" s="18" t="str">
        <f>Datos!S46</f>
        <v>Cumplió</v>
      </c>
      <c r="H20" s="18" t="str">
        <f>Datos!T46</f>
        <v>N/A</v>
      </c>
      <c r="I20" s="18" t="str">
        <f>Datos!U46</f>
        <v>N/A</v>
      </c>
      <c r="J20" s="18" t="str">
        <f t="shared" si="0"/>
        <v>SI</v>
      </c>
    </row>
    <row r="21" spans="2:10" ht="32.25" customHeight="1" x14ac:dyDescent="0.25">
      <c r="B21" s="284" t="s">
        <v>270</v>
      </c>
      <c r="C21" s="284"/>
      <c r="D21" s="284"/>
      <c r="E21" s="284"/>
      <c r="F21" s="284"/>
      <c r="G21" s="18" t="str">
        <f>Datos!S47</f>
        <v>Cumplió</v>
      </c>
      <c r="H21" s="18" t="str">
        <f>Datos!T47</f>
        <v>N/A</v>
      </c>
      <c r="I21" s="18" t="str">
        <f>Datos!U47</f>
        <v>N/A</v>
      </c>
      <c r="J21" s="18" t="str">
        <f t="shared" si="0"/>
        <v>SI</v>
      </c>
    </row>
    <row r="22" spans="2:10" ht="32.25" customHeight="1" x14ac:dyDescent="0.25">
      <c r="B22" s="284" t="s">
        <v>271</v>
      </c>
      <c r="C22" s="284"/>
      <c r="D22" s="284"/>
      <c r="E22" s="284"/>
      <c r="F22" s="284"/>
      <c r="G22" s="18" t="str">
        <f>Datos!S48</f>
        <v>Cumplió</v>
      </c>
      <c r="H22" s="18" t="str">
        <f>Datos!T48</f>
        <v>N/A</v>
      </c>
      <c r="I22" s="18" t="str">
        <f>Datos!U48</f>
        <v>N/A</v>
      </c>
      <c r="J22" s="18" t="str">
        <f t="shared" si="0"/>
        <v>SI</v>
      </c>
    </row>
    <row r="23" spans="2:10" x14ac:dyDescent="0.25">
      <c r="B23" s="389" t="s">
        <v>318</v>
      </c>
      <c r="C23" s="390"/>
      <c r="D23" s="390"/>
      <c r="E23" s="390"/>
      <c r="F23" s="391"/>
      <c r="G23" s="18" t="str">
        <f>Datos!S49</f>
        <v>Cumplió</v>
      </c>
      <c r="H23" s="18" t="str">
        <f>Datos!T49</f>
        <v>N/A</v>
      </c>
      <c r="I23" s="18" t="str">
        <f>Datos!U49</f>
        <v>N/A</v>
      </c>
      <c r="J23" s="18" t="str">
        <f t="shared" si="0"/>
        <v>SI</v>
      </c>
    </row>
    <row r="24" spans="2:10" x14ac:dyDescent="0.25">
      <c r="B24" s="284" t="s">
        <v>272</v>
      </c>
      <c r="C24" s="284"/>
      <c r="D24" s="284"/>
      <c r="E24" s="284"/>
      <c r="F24" s="284"/>
      <c r="G24" s="18" t="str">
        <f>Datos!S49</f>
        <v>Cumplió</v>
      </c>
      <c r="H24" s="18" t="str">
        <f>Datos!T49</f>
        <v>N/A</v>
      </c>
      <c r="I24" s="18" t="str">
        <f>Datos!U49</f>
        <v>N/A</v>
      </c>
      <c r="J24" s="18" t="str">
        <f t="shared" si="0"/>
        <v>SI</v>
      </c>
    </row>
    <row r="25" spans="2:10" ht="50.25" customHeight="1" x14ac:dyDescent="0.25">
      <c r="B25" s="284" t="s">
        <v>273</v>
      </c>
      <c r="C25" s="284"/>
      <c r="D25" s="284"/>
      <c r="E25" s="284"/>
      <c r="F25" s="284"/>
      <c r="G25" s="18" t="str">
        <f>Datos!S50</f>
        <v>Cumplió</v>
      </c>
      <c r="H25" s="18" t="str">
        <f>Datos!T50</f>
        <v>N/A</v>
      </c>
      <c r="I25" s="18" t="str">
        <f>Datos!U50</f>
        <v>N/A</v>
      </c>
      <c r="J25" s="18" t="str">
        <f t="shared" si="0"/>
        <v>SI</v>
      </c>
    </row>
    <row r="26" spans="2:10" x14ac:dyDescent="0.25">
      <c r="B26" s="284" t="s">
        <v>274</v>
      </c>
      <c r="C26" s="284"/>
      <c r="D26" s="284"/>
      <c r="E26" s="284"/>
      <c r="F26" s="284"/>
      <c r="G26" s="18" t="str">
        <f>Datos!S51</f>
        <v>No Requiere</v>
      </c>
      <c r="H26" s="18" t="str">
        <f>Datos!T51</f>
        <v>N/A</v>
      </c>
      <c r="I26" s="18" t="str">
        <f>Datos!U51</f>
        <v>N/A</v>
      </c>
      <c r="J26" s="18" t="str">
        <f t="shared" si="0"/>
        <v>No Requiere</v>
      </c>
    </row>
    <row r="27" spans="2:10" ht="15" customHeight="1" x14ac:dyDescent="0.25">
      <c r="B27" s="377" t="s">
        <v>278</v>
      </c>
      <c r="C27" s="377"/>
      <c r="D27" s="377"/>
      <c r="E27" s="377"/>
      <c r="F27" s="377"/>
      <c r="G27" s="377"/>
      <c r="H27" s="377"/>
      <c r="I27" s="377"/>
      <c r="J27" s="377"/>
    </row>
    <row r="28" spans="2:10" ht="25.5" x14ac:dyDescent="0.25">
      <c r="B28" s="378" t="s">
        <v>72</v>
      </c>
      <c r="C28" s="378"/>
      <c r="D28" s="378"/>
      <c r="E28" s="378"/>
      <c r="F28" s="378"/>
      <c r="G28" s="175" t="s">
        <v>57</v>
      </c>
      <c r="H28" s="175" t="s">
        <v>58</v>
      </c>
      <c r="I28" s="175" t="s">
        <v>59</v>
      </c>
      <c r="J28" s="175" t="s">
        <v>267</v>
      </c>
    </row>
    <row r="29" spans="2:10" ht="37.5" customHeight="1" x14ac:dyDescent="0.25">
      <c r="B29" s="284" t="s">
        <v>281</v>
      </c>
      <c r="C29" s="284"/>
      <c r="D29" s="284"/>
      <c r="E29" s="284"/>
      <c r="F29" s="284"/>
      <c r="G29" s="18" t="str">
        <f>IF(Datos!$C$45="SI",IF(Datos!$Y$17="SI",("Cumplió"),("N/A")),"N/A")</f>
        <v>N/A</v>
      </c>
      <c r="H29" s="18" t="str">
        <f>IF(Datos!$C$45="SI",IF(Datos!$Y$18="SI",("√"),("N/A")),"N/A")</f>
        <v>N/A</v>
      </c>
      <c r="I29" s="18" t="str">
        <f>IF(Datos!$C$45="SI",IF(Datos!$Y$19="SI",("√"),("N/A")),"N/A")</f>
        <v>N/A</v>
      </c>
      <c r="J29" s="18" t="str">
        <f>IF(G29="Cumplió","SI","No Requiere")</f>
        <v>No Requiere</v>
      </c>
    </row>
    <row r="30" spans="2:10" x14ac:dyDescent="0.25">
      <c r="B30" s="284" t="s">
        <v>282</v>
      </c>
      <c r="C30" s="284"/>
      <c r="D30" s="284"/>
      <c r="E30" s="284"/>
      <c r="F30" s="284"/>
      <c r="G30" s="18" t="str">
        <f>IF(Datos!$C$45="SI",IF(Datos!$Y$17="SI",("Cumplió"),("N/A")),"N/A")</f>
        <v>N/A</v>
      </c>
      <c r="H30" s="18" t="str">
        <f>IF(Datos!$C$45="SI",IF(Datos!$Y$18="SI",("√"),("N/A")),"N/A")</f>
        <v>N/A</v>
      </c>
      <c r="I30" s="18" t="str">
        <f>IF(Datos!$C$45="SI",IF(Datos!$Y$19="SI",("√"),("N/A")),"N/A")</f>
        <v>N/A</v>
      </c>
      <c r="J30" s="18" t="str">
        <f t="shared" ref="J30:J35" si="1">IF(G30="Cumplió","SI","No Requiere")</f>
        <v>No Requiere</v>
      </c>
    </row>
    <row r="31" spans="2:10" x14ac:dyDescent="0.25">
      <c r="B31" s="284" t="s">
        <v>283</v>
      </c>
      <c r="C31" s="284"/>
      <c r="D31" s="284"/>
      <c r="E31" s="284"/>
      <c r="F31" s="284"/>
      <c r="G31" s="18" t="str">
        <f>IF(Datos!$C$45="SI",IF(Datos!$Y$17="SI",("Cumplió"),("N/A")),"N/A")</f>
        <v>N/A</v>
      </c>
      <c r="H31" s="18" t="str">
        <f>IF(Datos!$C$45="SI",IF(Datos!$Y$18="SI",("√"),("N/A")),"N/A")</f>
        <v>N/A</v>
      </c>
      <c r="I31" s="18" t="str">
        <f>IF(Datos!$C$45="SI",IF(Datos!$Y$19="SI",("√"),("N/A")),"N/A")</f>
        <v>N/A</v>
      </c>
      <c r="J31" s="18" t="str">
        <f t="shared" si="1"/>
        <v>No Requiere</v>
      </c>
    </row>
    <row r="32" spans="2:10" ht="45" customHeight="1" x14ac:dyDescent="0.25">
      <c r="B32" s="284" t="s">
        <v>284</v>
      </c>
      <c r="C32" s="284"/>
      <c r="D32" s="284"/>
      <c r="E32" s="284"/>
      <c r="F32" s="284"/>
      <c r="G32" s="18" t="str">
        <f>IF(Datos!$C$45="SI",IF(Datos!$Y$17="SI",("Cumplió"),("N/A")),"N/A")</f>
        <v>N/A</v>
      </c>
      <c r="H32" s="18" t="str">
        <f>IF(Datos!$C$45="SI",IF(Datos!$Y$18="SI",("√"),("N/A")),"N/A")</f>
        <v>N/A</v>
      </c>
      <c r="I32" s="18" t="str">
        <f>IF(Datos!$C$45="SI",IF(Datos!$Y$19="SI",("√"),("N/A")),"N/A")</f>
        <v>N/A</v>
      </c>
      <c r="J32" s="18" t="str">
        <f t="shared" si="1"/>
        <v>No Requiere</v>
      </c>
    </row>
    <row r="33" spans="2:10" ht="30" customHeight="1" x14ac:dyDescent="0.25">
      <c r="B33" s="284" t="s">
        <v>285</v>
      </c>
      <c r="C33" s="284"/>
      <c r="D33" s="284"/>
      <c r="E33" s="284"/>
      <c r="F33" s="284"/>
      <c r="G33" s="18" t="str">
        <f>IF(Datos!$C$45="SI",IF(Datos!$Y$17="SI",("Cumplió"),("N/A")),"N/A")</f>
        <v>N/A</v>
      </c>
      <c r="H33" s="18" t="str">
        <f>IF(Datos!$C$45="SI",IF(Datos!$Y$18="SI",("√"),("N/A")),"N/A")</f>
        <v>N/A</v>
      </c>
      <c r="I33" s="18" t="str">
        <f>IF(Datos!$C$45="SI",IF(Datos!$Y$19="SI",("√"),("N/A")),"N/A")</f>
        <v>N/A</v>
      </c>
      <c r="J33" s="18" t="str">
        <f t="shared" si="1"/>
        <v>No Requiere</v>
      </c>
    </row>
    <row r="34" spans="2:10" ht="30" customHeight="1" x14ac:dyDescent="0.25">
      <c r="B34" s="284" t="s">
        <v>286</v>
      </c>
      <c r="C34" s="284"/>
      <c r="D34" s="284"/>
      <c r="E34" s="284"/>
      <c r="F34" s="284"/>
      <c r="G34" s="18" t="str">
        <f>IF(Datos!$C$45="SI",IF(Datos!$Y$17="SI",("Cumplió"),("N/A")),"N/A")</f>
        <v>N/A</v>
      </c>
      <c r="H34" s="18" t="str">
        <f>IF(Datos!$C$45="SI",IF(Datos!$Y$18="SI",("√"),("N/A")),"N/A")</f>
        <v>N/A</v>
      </c>
      <c r="I34" s="18" t="str">
        <f>IF(Datos!$C$45="SI",IF(Datos!$Y$19="SI",("√"),("N/A")),"N/A")</f>
        <v>N/A</v>
      </c>
      <c r="J34" s="18" t="str">
        <f t="shared" si="1"/>
        <v>No Requiere</v>
      </c>
    </row>
    <row r="35" spans="2:10" ht="31.5" customHeight="1" x14ac:dyDescent="0.25">
      <c r="B35" s="284" t="s">
        <v>287</v>
      </c>
      <c r="C35" s="284"/>
      <c r="D35" s="284"/>
      <c r="E35" s="284"/>
      <c r="F35" s="284"/>
      <c r="G35" s="18" t="str">
        <f>IF(Datos!$C$45="SI",IF(Datos!$Y$17="SI",("Cumplió"),("N/A")),"N/A")</f>
        <v>N/A</v>
      </c>
      <c r="H35" s="18" t="str">
        <f>IF(Datos!$C$45="SI",IF(Datos!$Y$18="SI",("√"),("N/A")),"N/A")</f>
        <v>N/A</v>
      </c>
      <c r="I35" s="18" t="str">
        <f>IF(Datos!$C$45="SI",IF(Datos!$Y$19="SI",("√"),("N/A")),"N/A")</f>
        <v>N/A</v>
      </c>
      <c r="J35" s="18" t="str">
        <f t="shared" si="1"/>
        <v>No Requiere</v>
      </c>
    </row>
    <row r="36" spans="2:10" x14ac:dyDescent="0.25">
      <c r="B36" s="1"/>
      <c r="C36" s="1"/>
      <c r="D36" s="1"/>
      <c r="E36" s="1"/>
    </row>
    <row r="37" spans="2:10" ht="19.5" customHeight="1" x14ac:dyDescent="0.25">
      <c r="B37" s="393" t="s">
        <v>87</v>
      </c>
      <c r="C37" s="394"/>
      <c r="D37" s="394"/>
      <c r="E37" s="394"/>
      <c r="F37" s="394"/>
      <c r="G37" s="394"/>
      <c r="H37" s="394"/>
      <c r="I37" s="394"/>
      <c r="J37" s="395"/>
    </row>
    <row r="38" spans="2:10" ht="30" customHeight="1" x14ac:dyDescent="0.25">
      <c r="B38" s="396" t="s">
        <v>88</v>
      </c>
      <c r="C38" s="396"/>
      <c r="D38" s="396"/>
      <c r="E38" s="396"/>
      <c r="F38" s="19" t="s">
        <v>117</v>
      </c>
      <c r="G38" s="3" t="s">
        <v>57</v>
      </c>
      <c r="H38" s="3" t="s">
        <v>58</v>
      </c>
      <c r="I38" s="3" t="s">
        <v>59</v>
      </c>
      <c r="J38" s="42" t="s">
        <v>276</v>
      </c>
    </row>
    <row r="39" spans="2:10" ht="15.75" customHeight="1" x14ac:dyDescent="0.25">
      <c r="B39" s="397" t="s">
        <v>275</v>
      </c>
      <c r="C39" s="398"/>
      <c r="D39" s="398"/>
      <c r="E39" s="399"/>
      <c r="F39" s="20" t="str">
        <f>+Datos!R57</f>
        <v>70%</v>
      </c>
      <c r="G39" s="164">
        <f>Datos!S57</f>
        <v>70</v>
      </c>
      <c r="H39" s="164" t="str">
        <f>Datos!T57</f>
        <v>N/A</v>
      </c>
      <c r="I39" s="164" t="str">
        <f>Datos!U57</f>
        <v>N/A</v>
      </c>
      <c r="J39" s="164"/>
    </row>
    <row r="40" spans="2:10" ht="15.75" thickBot="1" x14ac:dyDescent="0.3">
      <c r="B40" s="370" t="s">
        <v>118</v>
      </c>
      <c r="C40" s="371"/>
      <c r="D40" s="371"/>
      <c r="E40" s="372"/>
      <c r="F40" s="21" t="str">
        <f>+Datos!R58</f>
        <v>30%</v>
      </c>
      <c r="G40" s="164">
        <f>Datos!S58</f>
        <v>30</v>
      </c>
      <c r="H40" s="164" t="str">
        <f>Datos!T58</f>
        <v>N/A</v>
      </c>
      <c r="I40" s="164" t="str">
        <f>Datos!U58</f>
        <v>N/A</v>
      </c>
      <c r="J40" s="164"/>
    </row>
    <row r="41" spans="2:10" ht="27.75" customHeight="1" thickTop="1" x14ac:dyDescent="0.25">
      <c r="B41" s="373" t="s">
        <v>91</v>
      </c>
      <c r="C41" s="374"/>
      <c r="D41" s="374"/>
      <c r="E41" s="374"/>
      <c r="F41" s="22">
        <f>Datos!R59</f>
        <v>1</v>
      </c>
      <c r="G41" s="165" t="str">
        <f>Datos!S59</f>
        <v>100%</v>
      </c>
      <c r="H41" s="165" t="str">
        <f>Datos!T59</f>
        <v>N/A</v>
      </c>
      <c r="I41" s="165" t="str">
        <f>Datos!U59</f>
        <v>N/A</v>
      </c>
      <c r="J41" s="165"/>
    </row>
    <row r="42" spans="2:10" ht="48" customHeight="1" x14ac:dyDescent="0.25">
      <c r="B42" s="392" t="str">
        <f>Datos!N60</f>
        <v>El oferente con mejor calificación es: JOSE ALEXANDER ARBOLEDA CARDONA, con NIT 71,377,271-6, por un valor de $ 1350000, por concepto de Compra de materiales tecnologicos</v>
      </c>
      <c r="C42" s="392"/>
      <c r="D42" s="392"/>
      <c r="E42" s="392"/>
      <c r="F42" s="392"/>
      <c r="G42" s="392"/>
      <c r="H42" s="392"/>
      <c r="I42" s="392"/>
      <c r="J42" s="392"/>
    </row>
    <row r="43" spans="2:10" ht="72" customHeight="1" x14ac:dyDescent="0.25">
      <c r="B43" s="328" t="str">
        <f>"Conforme al Decreto 1075 de 2015 y la Ley 80 de 1993 con sus decretos reglamentarios, en el presente proceso contractual existe propuesta HÁBIL para la adjudicación bajo la modalidad de selección de mínima cuantía y que la propuesta realizada por "&amp;Datos!C6&amp;" cumple con los requisitos establecidos en el pliego, según el estudio técnico y financiero de la propuesta."</f>
        <v>Conforme al Decreto 1075 de 2015 y la Ley 80 de 1993 con sus decretos reglamentarios, en el presente proceso contractual existe propuesta HÁBIL para la adjudicación bajo la modalidad de selección de mínima cuantía y que la propuesta realizada por JOSE ALEXANDER ARBOLEDA CARDONA cumple con los requisitos establecidos en el pliego, según el estudio técnico y financiero de la propuesta.</v>
      </c>
      <c r="C43" s="328"/>
      <c r="D43" s="328"/>
      <c r="E43" s="328"/>
      <c r="F43" s="328"/>
      <c r="G43" s="328"/>
      <c r="H43" s="328"/>
      <c r="I43" s="328"/>
      <c r="J43" s="328"/>
    </row>
    <row r="44" spans="2:10" x14ac:dyDescent="0.25">
      <c r="B44" s="35"/>
      <c r="C44" s="35"/>
      <c r="D44" s="35"/>
      <c r="E44" s="35"/>
      <c r="F44" s="35"/>
      <c r="G44" s="35"/>
      <c r="H44" s="35"/>
      <c r="I44" s="35"/>
      <c r="J44" s="35"/>
    </row>
    <row r="45" spans="2:10" x14ac:dyDescent="0.25">
      <c r="B45" t="s">
        <v>119</v>
      </c>
    </row>
    <row r="49" spans="2:10" ht="30" customHeight="1" x14ac:dyDescent="0.25">
      <c r="C49" s="57"/>
      <c r="D49" s="306" t="str">
        <f>+ActaCierre!C20</f>
        <v>CARLOS MARIO GIRALDO JIMENEZ
Rector</v>
      </c>
      <c r="E49" s="306"/>
      <c r="F49" s="306"/>
      <c r="G49" s="306"/>
      <c r="H49" s="306"/>
      <c r="I49" s="57"/>
      <c r="J49" s="57"/>
    </row>
    <row r="50" spans="2:10" ht="15.75" x14ac:dyDescent="0.25">
      <c r="B50" s="6"/>
    </row>
  </sheetData>
  <mergeCells count="44">
    <mergeCell ref="B33:F33"/>
    <mergeCell ref="B34:F34"/>
    <mergeCell ref="B35:F35"/>
    <mergeCell ref="B28:F28"/>
    <mergeCell ref="B29:F29"/>
    <mergeCell ref="B30:F30"/>
    <mergeCell ref="B31:F31"/>
    <mergeCell ref="B32:F32"/>
    <mergeCell ref="B42:J42"/>
    <mergeCell ref="B43:J43"/>
    <mergeCell ref="B37:J37"/>
    <mergeCell ref="B38:E38"/>
    <mergeCell ref="B39:E39"/>
    <mergeCell ref="B27:J27"/>
    <mergeCell ref="B20:F20"/>
    <mergeCell ref="B22:F22"/>
    <mergeCell ref="B25:F25"/>
    <mergeCell ref="B26:F26"/>
    <mergeCell ref="B23:F23"/>
    <mergeCell ref="A1:K1"/>
    <mergeCell ref="I8:J8"/>
    <mergeCell ref="I9:J9"/>
    <mergeCell ref="B3:C3"/>
    <mergeCell ref="D3:E3"/>
    <mergeCell ref="B4:J4"/>
    <mergeCell ref="F3:J3"/>
    <mergeCell ref="B5:J5"/>
    <mergeCell ref="B7:J7"/>
    <mergeCell ref="D49:H49"/>
    <mergeCell ref="D8:H8"/>
    <mergeCell ref="D9:H9"/>
    <mergeCell ref="B10:J10"/>
    <mergeCell ref="B11:J11"/>
    <mergeCell ref="B21:F21"/>
    <mergeCell ref="B40:E40"/>
    <mergeCell ref="B41:E41"/>
    <mergeCell ref="B12:F12"/>
    <mergeCell ref="B13:F13"/>
    <mergeCell ref="B15:J15"/>
    <mergeCell ref="B16:F16"/>
    <mergeCell ref="B17:F17"/>
    <mergeCell ref="B18:F18"/>
    <mergeCell ref="B19:F19"/>
    <mergeCell ref="B24:F24"/>
  </mergeCells>
  <printOptions horizontalCentered="1"/>
  <pageMargins left="0.59055118110236227" right="0.51181102362204722" top="1.8020833333333333" bottom="1.0729166666666667" header="0.31496062992125984" footer="0.19685039370078741"/>
  <pageSetup fitToWidth="2" fitToHeight="2" orientation="portrait" r:id="rId1"/>
  <headerFooter>
    <oddHeader>&amp;C&amp;G</oddHeader>
    <oddFooter xml:space="preserve">&amp;C&amp;G
Página &amp;P de &amp;N&amp;RInforme Evaluación Oferentes </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Layout" topLeftCell="A19" zoomScaleNormal="85" workbookViewId="0">
      <selection activeCell="E26" sqref="E26"/>
    </sheetView>
  </sheetViews>
  <sheetFormatPr baseColWidth="10" defaultRowHeight="15" x14ac:dyDescent="0.25"/>
  <cols>
    <col min="8" max="8" width="18.42578125" customWidth="1"/>
  </cols>
  <sheetData>
    <row r="1" spans="1:10" ht="15" customHeight="1" x14ac:dyDescent="0.25">
      <c r="A1" s="379" t="str">
        <f>+""&amp;Datos!B27&amp;" "&amp;Datos!C27&amp;""</f>
        <v>RESOLUCIÓN DE  ADJUDICACIÓN No. RAC.   007- 06-2020</v>
      </c>
      <c r="B1" s="379"/>
      <c r="C1" s="379"/>
      <c r="D1" s="379"/>
      <c r="E1" s="379"/>
      <c r="F1" s="379"/>
      <c r="G1" s="379"/>
      <c r="H1" s="379"/>
      <c r="I1" s="27"/>
      <c r="J1" s="27"/>
    </row>
    <row r="2" spans="1:10" x14ac:dyDescent="0.25">
      <c r="A2" s="333" t="str">
        <f>+"("&amp;Datos!J63&amp;")"</f>
        <v>(19 de junio de 2020)</v>
      </c>
      <c r="B2" s="333"/>
      <c r="C2" s="333"/>
      <c r="D2" s="333"/>
      <c r="E2" s="333"/>
      <c r="F2" s="333"/>
      <c r="G2" s="333"/>
      <c r="H2" s="333"/>
    </row>
    <row r="3" spans="1:10" x14ac:dyDescent="0.25">
      <c r="A3" s="38"/>
      <c r="B3" s="38"/>
      <c r="C3" s="38"/>
      <c r="D3" s="38"/>
      <c r="E3" s="38"/>
      <c r="F3" s="38"/>
      <c r="G3" s="38"/>
      <c r="H3" s="38"/>
    </row>
    <row r="4" spans="1:10" ht="34.5" customHeight="1" x14ac:dyDescent="0.25">
      <c r="A4" s="331" t="str">
        <f>+"Por medio de la cual se ADJUDICA: "&amp;Datos!C8&amp;"."</f>
        <v>Por medio de la cual se ADJUDICA: Compra de materiales tecnologicos.</v>
      </c>
      <c r="B4" s="331"/>
      <c r="C4" s="331"/>
      <c r="D4" s="331"/>
      <c r="E4" s="331"/>
      <c r="F4" s="331"/>
      <c r="G4" s="331"/>
      <c r="H4" s="331"/>
    </row>
    <row r="5" spans="1:10" x14ac:dyDescent="0.25">
      <c r="A5" s="157"/>
      <c r="B5" s="157"/>
      <c r="C5" s="157"/>
      <c r="D5" s="157"/>
      <c r="E5" s="157"/>
      <c r="F5" s="157"/>
      <c r="G5" s="157"/>
      <c r="H5" s="157"/>
    </row>
    <row r="6" spans="1:10" ht="79.5" customHeight="1" x14ac:dyDescent="0.25">
      <c r="A6" s="311" t="str">
        <f>+"La Rectoría de la "&amp;Datos!B49&amp;" del Municipio de "&amp;Datos!B50&amp;" en uso de sus facultades legales, en particular las conferidas por la Ley 115 de 1994, Artículo 10 de la Ley 715 de 2002; el Decreto 1075 de 2015; el Decreto 4807 de 2011, y conforme a lo establecido en la Ley 1150 de 2007, el Decreto 1082 de 2015 y el "&amp;Datos!B54&amp;" del Consejo Directivo (Reglamento de Contratación Institucional para la contratación de bienes y servicios hasta la cuantía de 20 SMLMV),"</f>
        <v>La Rectoría de la INSTITUCIÓN EDUCATIVA JOAQUIN VALLEJO ARBELAEZ del Municipio de MEDELLÍN en uso de sus facultades legales, en particular las conferidas por la Ley 115 de 1994, Artículo 10 de la Ley 715 de 2002; el Decreto 1075 de 2015; el Decreto 4807 de 2011, y conforme a lo establecido en la Ley 1150 de 2007, el Decreto 1082 de 2015 y el Acuerdo #5 del 22 de abril de 2020 del Consejo Directivo (Reglamento de Contratación Institucional para la contratación de bienes y servicios hasta la cuantía de 20 SMLMV),</v>
      </c>
      <c r="B6" s="311"/>
      <c r="C6" s="311"/>
      <c r="D6" s="311"/>
      <c r="E6" s="311"/>
      <c r="F6" s="311"/>
      <c r="G6" s="311"/>
      <c r="H6" s="311"/>
    </row>
    <row r="7" spans="1:10" x14ac:dyDescent="0.25">
      <c r="A7" s="50"/>
      <c r="B7" s="50"/>
      <c r="C7" s="50"/>
      <c r="D7" s="50"/>
      <c r="E7" s="50"/>
      <c r="F7" s="50"/>
      <c r="G7" s="50"/>
      <c r="H7" s="50"/>
    </row>
    <row r="8" spans="1:10" x14ac:dyDescent="0.25">
      <c r="A8" s="331" t="s">
        <v>101</v>
      </c>
      <c r="B8" s="331"/>
      <c r="C8" s="331"/>
      <c r="D8" s="331"/>
      <c r="E8" s="331"/>
      <c r="F8" s="331"/>
      <c r="G8" s="331"/>
      <c r="H8" s="331"/>
    </row>
    <row r="9" spans="1:10" ht="15" customHeight="1" x14ac:dyDescent="0.25">
      <c r="A9" s="40"/>
      <c r="B9" s="40"/>
      <c r="C9" s="40"/>
      <c r="D9" s="40"/>
      <c r="E9" s="40"/>
      <c r="F9" s="40"/>
      <c r="G9" s="40"/>
      <c r="H9" s="40"/>
    </row>
    <row r="10" spans="1:10" ht="63.75" customHeight="1" x14ac:dyDescent="0.25">
      <c r="A10" s="311" t="s">
        <v>212</v>
      </c>
      <c r="B10" s="319"/>
      <c r="C10" s="319"/>
      <c r="D10" s="319"/>
      <c r="E10" s="319"/>
      <c r="F10" s="319"/>
      <c r="G10" s="319"/>
      <c r="H10" s="319"/>
    </row>
    <row r="11" spans="1:10" x14ac:dyDescent="0.25">
      <c r="A11" s="50"/>
      <c r="B11" s="58"/>
      <c r="C11" s="58"/>
      <c r="D11" s="58"/>
      <c r="E11" s="58"/>
      <c r="F11" s="58"/>
      <c r="G11" s="58"/>
      <c r="H11" s="58"/>
    </row>
    <row r="12" spans="1:10" ht="50.25" customHeight="1" x14ac:dyDescent="0.25">
      <c r="A12" s="311" t="str">
        <f>+"2. Que el "&amp;Datos!B54&amp;" expedido por el Consejo Directivo de la "&amp;Datos!B49&amp;" en concordancia con el Decreto 1075 de 2015 establece el procedimiento para la adquisición de bienes y la celebración de contratos."</f>
        <v>2. Que el Acuerdo #5 del 22 de abril de 2020 expedido por el Consejo Directivo de la INSTITUCIÓN EDUCATIVA JOAQUIN VALLEJO ARBELAEZ en concordancia con el Decreto 1075 de 2015 establece el procedimiento para la adquisición de bienes y la celebración de contratos.</v>
      </c>
      <c r="B12" s="311"/>
      <c r="C12" s="311"/>
      <c r="D12" s="311"/>
      <c r="E12" s="311"/>
      <c r="F12" s="311"/>
      <c r="G12" s="311"/>
      <c r="H12" s="311"/>
    </row>
    <row r="13" spans="1:10" x14ac:dyDescent="0.25">
      <c r="A13" s="50"/>
      <c r="B13" s="50"/>
      <c r="C13" s="50"/>
      <c r="D13" s="50"/>
      <c r="E13" s="50"/>
      <c r="F13" s="50"/>
      <c r="G13" s="50"/>
      <c r="H13" s="50"/>
    </row>
    <row r="14" spans="1:10" ht="40.5" customHeight="1" x14ac:dyDescent="0.25">
      <c r="A14" s="328" t="s">
        <v>335</v>
      </c>
      <c r="B14" s="328"/>
      <c r="C14" s="328"/>
      <c r="D14" s="328"/>
      <c r="E14" s="328"/>
      <c r="F14" s="328"/>
      <c r="G14" s="328"/>
      <c r="H14" s="328"/>
    </row>
    <row r="15" spans="1:10" x14ac:dyDescent="0.25">
      <c r="A15" s="41"/>
      <c r="B15" s="41"/>
      <c r="C15" s="41"/>
      <c r="D15" s="41"/>
      <c r="E15" s="41"/>
      <c r="F15" s="41"/>
      <c r="G15" s="41"/>
      <c r="H15" s="41"/>
    </row>
    <row r="16" spans="1:10" ht="47.1" customHeight="1" x14ac:dyDescent="0.25">
      <c r="A16" s="319" t="str">
        <f>+"4. Que conforme a lo previsto en el  Decreto 1082 de 2015, el Decreto 1075 de 2015 y  el "&amp;Datos!B54&amp;", expedido por el Consejo Directivo de la Institución, el proponente "&amp;Datos!C6&amp;" cumple con los requisitos establecidos en la invitación."</f>
        <v>4. Que conforme a lo previsto en el  Decreto 1082 de 2015, el Decreto 1075 de 2015 y  el Acuerdo #5 del 22 de abril de 2020, expedido por el Consejo Directivo de la Institución, el proponente JOSE ALEXANDER ARBOLEDA CARDONA cumple con los requisitos establecidos en la invitación.</v>
      </c>
      <c r="B16" s="319"/>
      <c r="C16" s="319"/>
      <c r="D16" s="319"/>
      <c r="E16" s="319"/>
      <c r="F16" s="319"/>
      <c r="G16" s="319"/>
      <c r="H16" s="319"/>
    </row>
    <row r="17" spans="1:8" x14ac:dyDescent="0.25">
      <c r="A17" s="58"/>
      <c r="B17" s="58"/>
      <c r="C17" s="58"/>
      <c r="D17" s="58"/>
      <c r="E17" s="58"/>
      <c r="F17" s="58"/>
      <c r="G17" s="58"/>
      <c r="H17" s="58"/>
    </row>
    <row r="18" spans="1:8" x14ac:dyDescent="0.25">
      <c r="A18" s="331" t="s">
        <v>102</v>
      </c>
      <c r="B18" s="331"/>
      <c r="C18" s="331"/>
      <c r="D18" s="331"/>
      <c r="E18" s="331"/>
      <c r="F18" s="331"/>
      <c r="G18" s="331"/>
      <c r="H18" s="331"/>
    </row>
    <row r="19" spans="1:8" ht="79.5" customHeight="1" x14ac:dyDescent="0.25">
      <c r="A19" s="319" t="str">
        <f>+"ARTÍCULO PRIMERO: Adjudicar a "&amp;Datos!C6&amp;", identificado con NIT. "&amp;Datos!C7&amp;"; Por valor de $"&amp;Datos!I18&amp;"
ARTÍCULO SEGUNDO: Las obligaciones derivadas de la presente contratación, se cancelarán con cargo a los recursos de los Fondos de Servicios Educativos, respaldados con la Disponibilidad Presupuestal "&amp;Datos!C25&amp;" del "&amp;Datos!C26&amp;"."</f>
        <v>ARTÍCULO PRIMERO: Adjudicar a JOSE ALEXANDER ARBOLEDA CARDONA, identificado con NIT. 71,377,271-6; Por valor de $1350000
ARTÍCULO SEGUNDO: Las obligaciones derivadas de la presente contratación, se cancelarán con cargo a los recursos de los Fondos de Servicios Educativos, respaldados con la Disponibilidad Presupuestal 6 del 27 de marzo de 2020.</v>
      </c>
      <c r="B19" s="319"/>
      <c r="C19" s="319"/>
      <c r="D19" s="319"/>
      <c r="E19" s="319"/>
      <c r="F19" s="319"/>
      <c r="G19" s="319"/>
      <c r="H19" s="319"/>
    </row>
    <row r="20" spans="1:8" ht="15" customHeight="1" x14ac:dyDescent="0.25">
      <c r="A20" s="23"/>
      <c r="B20" s="23"/>
      <c r="C20" s="23"/>
      <c r="D20" s="23"/>
      <c r="E20" s="23"/>
      <c r="F20" s="23"/>
      <c r="G20" s="23"/>
      <c r="H20" s="23"/>
    </row>
    <row r="21" spans="1:8" ht="15" customHeight="1" x14ac:dyDescent="0.25">
      <c r="A21" s="400" t="s">
        <v>144</v>
      </c>
      <c r="B21" s="400"/>
      <c r="C21" s="400"/>
      <c r="D21" s="400"/>
      <c r="E21" s="400"/>
      <c r="F21" s="400"/>
      <c r="G21" s="400"/>
      <c r="H21" s="400"/>
    </row>
    <row r="23" spans="1:8" x14ac:dyDescent="0.25">
      <c r="A23" s="332" t="str">
        <f>+"Dada en "&amp;Datos!B50&amp;", el "&amp;Datos!J63&amp;""</f>
        <v>Dada en MEDELLÍN, el 19 de junio de 2020</v>
      </c>
      <c r="B23" s="332"/>
      <c r="C23" s="332"/>
      <c r="D23" s="332"/>
      <c r="E23" s="332"/>
      <c r="F23" s="332"/>
      <c r="G23" s="332"/>
      <c r="H23" s="332"/>
    </row>
    <row r="28" spans="1:8" ht="35.25" customHeight="1" x14ac:dyDescent="0.25">
      <c r="B28" s="25"/>
      <c r="C28" s="25"/>
      <c r="D28" s="306" t="str">
        <f>+'Est Prev'!D44:D44</f>
        <v>CARLOS MARIO GIRALDO JIMENEZ
Rector</v>
      </c>
      <c r="E28" s="306"/>
      <c r="F28" s="306"/>
      <c r="G28" s="25"/>
      <c r="H28" s="25"/>
    </row>
  </sheetData>
  <mergeCells count="14">
    <mergeCell ref="D28:F28"/>
    <mergeCell ref="A1:H1"/>
    <mergeCell ref="A18:H18"/>
    <mergeCell ref="A23:H23"/>
    <mergeCell ref="A10:H10"/>
    <mergeCell ref="A16:H16"/>
    <mergeCell ref="A19:H19"/>
    <mergeCell ref="A21:H21"/>
    <mergeCell ref="A8:H8"/>
    <mergeCell ref="A12:H12"/>
    <mergeCell ref="A14:H14"/>
    <mergeCell ref="A2:H2"/>
    <mergeCell ref="A4:H4"/>
    <mergeCell ref="A6:H6"/>
  </mergeCells>
  <pageMargins left="0.83437499999999998" right="0.47244094488188981" top="1.576875" bottom="0.95854166666666663" header="0.31496062992125984" footer="0.20343749999999999"/>
  <pageSetup scale="86" orientation="portrait" r:id="rId1"/>
  <headerFooter>
    <oddHeader>&amp;C&amp;G</oddHeader>
    <oddFooter>&amp;C&amp;G
Página &amp;P de &amp;N&amp;RResolución de Adjudicación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view="pageLayout" topLeftCell="A52" zoomScaleNormal="85" workbookViewId="0">
      <selection activeCell="B54" sqref="A54:C57"/>
    </sheetView>
  </sheetViews>
  <sheetFormatPr baseColWidth="10" defaultRowHeight="15" x14ac:dyDescent="0.25"/>
  <cols>
    <col min="4" max="4" width="16.140625" customWidth="1"/>
    <col min="5" max="5" width="8.28515625" customWidth="1"/>
    <col min="8" max="8" width="15.42578125" customWidth="1"/>
  </cols>
  <sheetData>
    <row r="1" spans="1:8" ht="45" customHeight="1" x14ac:dyDescent="0.25">
      <c r="A1" s="410" t="str">
        <f>+Datos!C8</f>
        <v>Compra de materiales tecnologicos</v>
      </c>
      <c r="B1" s="410"/>
      <c r="C1" s="410"/>
      <c r="D1" s="410"/>
      <c r="E1" s="410"/>
      <c r="F1" s="410"/>
      <c r="G1" s="410"/>
      <c r="H1" s="410"/>
    </row>
    <row r="2" spans="1:8" x14ac:dyDescent="0.25">
      <c r="A2" s="411"/>
      <c r="B2" s="411"/>
      <c r="C2" s="411"/>
      <c r="D2" s="411"/>
      <c r="E2" s="411"/>
      <c r="F2" s="411"/>
      <c r="G2" s="411"/>
      <c r="H2" s="411"/>
    </row>
    <row r="3" spans="1:8" x14ac:dyDescent="0.25">
      <c r="A3" s="401" t="s">
        <v>158</v>
      </c>
      <c r="B3" s="401"/>
      <c r="C3" s="402" t="str">
        <f>+""&amp;Datos!B35&amp;" "&amp;Datos!C35&amp;""</f>
        <v>CONTRATO No. C.  007- 06-2020</v>
      </c>
      <c r="D3" s="402"/>
      <c r="E3" s="402"/>
      <c r="F3" s="402"/>
      <c r="G3" s="402"/>
      <c r="H3" s="402"/>
    </row>
    <row r="4" spans="1:8" ht="14.45" customHeight="1" x14ac:dyDescent="0.25">
      <c r="A4" s="401" t="s">
        <v>174</v>
      </c>
      <c r="B4" s="401"/>
      <c r="C4" s="402" t="str">
        <f>+Datos!B49</f>
        <v>INSTITUCIÓN EDUCATIVA JOAQUIN VALLEJO ARBELAEZ</v>
      </c>
      <c r="D4" s="402"/>
      <c r="E4" s="402"/>
      <c r="F4" s="402"/>
      <c r="G4" s="402"/>
      <c r="H4" s="402"/>
    </row>
    <row r="5" spans="1:8" ht="14.45" customHeight="1" x14ac:dyDescent="0.25">
      <c r="A5" s="401" t="s">
        <v>175</v>
      </c>
      <c r="B5" s="401"/>
      <c r="C5" s="401" t="str">
        <f>IF(ISBLANK(Datos!C6),"",Datos!C6)</f>
        <v>JOSE ALEXANDER ARBOLEDA CARDONA</v>
      </c>
      <c r="D5" s="401"/>
      <c r="E5" s="401"/>
      <c r="F5" s="401"/>
      <c r="G5" s="401"/>
      <c r="H5" s="401"/>
    </row>
    <row r="6" spans="1:8" ht="54" customHeight="1" x14ac:dyDescent="0.25">
      <c r="A6" s="401" t="s">
        <v>176</v>
      </c>
      <c r="B6" s="401"/>
      <c r="C6" s="412" t="str">
        <f>IF(ISBLANK(Datos!C8),"",Datos!C8)</f>
        <v>Compra de materiales tecnologicos</v>
      </c>
      <c r="D6" s="413"/>
      <c r="E6" s="413"/>
      <c r="F6" s="413"/>
      <c r="G6" s="413"/>
      <c r="H6" s="414"/>
    </row>
    <row r="7" spans="1:8" ht="13.5" customHeight="1" x14ac:dyDescent="0.25">
      <c r="A7" s="417" t="s">
        <v>177</v>
      </c>
      <c r="B7" s="417"/>
      <c r="C7" s="415">
        <f>IF(ISBLANK(Datos!C9),"",Datos!C9)</f>
        <v>1350000</v>
      </c>
      <c r="D7" s="415"/>
      <c r="E7" s="415"/>
      <c r="F7" s="415"/>
      <c r="G7" s="415"/>
      <c r="H7" s="415"/>
    </row>
    <row r="8" spans="1:8" ht="14.45" customHeight="1" x14ac:dyDescent="0.25">
      <c r="A8" s="401" t="s">
        <v>178</v>
      </c>
      <c r="B8" s="401"/>
      <c r="C8" s="305" t="str">
        <f>IF(ISBLANK(Datos!C37),"",Datos!C37)</f>
        <v>19 de junio de 2020</v>
      </c>
      <c r="D8" s="305"/>
      <c r="E8" s="305"/>
      <c r="F8" s="305"/>
      <c r="G8" s="305"/>
      <c r="H8" s="305"/>
    </row>
    <row r="9" spans="1:8" ht="14.45" customHeight="1" x14ac:dyDescent="0.25">
      <c r="A9" s="401" t="s">
        <v>179</v>
      </c>
      <c r="B9" s="401"/>
      <c r="C9" s="305" t="str">
        <f>IF(ISBLANK(Datos!C38),"",Datos!C38)</f>
        <v>23 de junio de 2020</v>
      </c>
      <c r="D9" s="305"/>
      <c r="E9" s="305"/>
      <c r="F9" s="305"/>
      <c r="G9" s="305"/>
      <c r="H9" s="305"/>
    </row>
    <row r="10" spans="1:8" ht="14.45" customHeight="1" x14ac:dyDescent="0.25">
      <c r="A10" s="401" t="s">
        <v>50</v>
      </c>
      <c r="B10" s="401"/>
      <c r="C10" s="305" t="str">
        <f>IF(ISBLANK(Datos!C39),"",Datos!C39)</f>
        <v>4 dias</v>
      </c>
      <c r="D10" s="305"/>
      <c r="E10" s="305"/>
      <c r="F10" s="305"/>
      <c r="G10" s="305"/>
      <c r="H10" s="305"/>
    </row>
    <row r="11" spans="1:8" x14ac:dyDescent="0.25">
      <c r="A11" s="25"/>
      <c r="B11" s="25"/>
      <c r="C11" s="25"/>
      <c r="D11" s="25"/>
      <c r="E11" s="25"/>
      <c r="F11" s="25"/>
      <c r="G11" s="25"/>
      <c r="H11" s="25"/>
    </row>
    <row r="12" spans="1:8" ht="15.75" x14ac:dyDescent="0.25">
      <c r="A12" s="416" t="s">
        <v>156</v>
      </c>
      <c r="B12" s="416"/>
      <c r="C12" s="416"/>
      <c r="D12" s="416"/>
      <c r="E12" s="416"/>
      <c r="F12" s="416"/>
      <c r="G12" s="416"/>
      <c r="H12" s="416"/>
    </row>
    <row r="13" spans="1:8" ht="70.5" customHeight="1" x14ac:dyDescent="0.25">
      <c r="A13" s="408" t="str">
        <f>+""&amp;Datos!B52&amp;", con cédula de ciudadanía "&amp;Datos!B53&amp;" representando legalmente la "&amp;Datos!B49&amp;", obrando de conformidad con el Artículo 13 de la Ley 715 de 2001, el Decreto 1075 de 2015, Decreto 1082 de 2015, y el "&amp;Datos!B54&amp;" expedido por el Consejo Directivo de la Institución,  los cuales autorizan a la Rectoría para algunas funciones, entre ellas ordenar gastos, autorizar a la prestación de servicios y compras o la ejecución de obras y celebrar contratos."</f>
        <v>CARLOS MARIO GIRALDO JIMENEZ, con cédula de ciudadanía 71.661.819 representando legalmente la INSTITUCIÓN EDUCATIVA JOAQUIN VALLEJO ARBELAEZ, obrando de conformidad con el Artículo 13 de la Ley 715 de 2001, el Decreto 1075 de 2015, Decreto 1082 de 2015, y el Acuerdo #5 del 22 de abril de 2020 expedido por el Consejo Directivo de la Institución,  los cuales autorizan a la Rectoría para algunas funciones, entre ellas ordenar gastos, autorizar a la prestación de servicios y compras o la ejecución de obras y celebrar contratos.</v>
      </c>
      <c r="B13" s="408"/>
      <c r="C13" s="408"/>
      <c r="D13" s="408"/>
      <c r="E13" s="408"/>
      <c r="F13" s="408"/>
      <c r="G13" s="408"/>
      <c r="H13" s="408"/>
    </row>
    <row r="14" spans="1:8" x14ac:dyDescent="0.25">
      <c r="A14" s="59"/>
      <c r="B14" s="59"/>
      <c r="C14" s="59"/>
      <c r="D14" s="59"/>
      <c r="E14" s="59"/>
      <c r="F14" s="59"/>
      <c r="G14" s="59"/>
      <c r="H14" s="59"/>
    </row>
    <row r="15" spans="1:8" ht="30.75" customHeight="1" x14ac:dyDescent="0.25">
      <c r="A15" s="408" t="str">
        <f>+"Con base en los anteriores fundamentos legales y teniendo en cuenta la Resolución Rectoral  No. RAC. "&amp;Datos!C27&amp;" de "&amp;Datos!J63&amp;", mediante la cual se realiza la adjudicación objeto de este contrato.---------------------------------------------------------------------"</f>
        <v>Con base en los anteriores fundamentos legales y teniendo en cuenta la Resolución Rectoral  No. RAC. 007- 06-2020 de 19 de junio de 2020, mediante la cual se realiza la adjudicación objeto de este contrato.---------------------------------------------------------------------</v>
      </c>
      <c r="B15" s="408"/>
      <c r="C15" s="408"/>
      <c r="D15" s="408"/>
      <c r="E15" s="408"/>
      <c r="F15" s="408"/>
      <c r="G15" s="408"/>
      <c r="H15" s="408"/>
    </row>
    <row r="16" spans="1:8" x14ac:dyDescent="0.25">
      <c r="A16" s="59"/>
      <c r="B16" s="59"/>
      <c r="C16" s="59"/>
      <c r="D16" s="59"/>
      <c r="E16" s="59"/>
      <c r="F16" s="59"/>
      <c r="G16" s="59"/>
      <c r="H16" s="59"/>
    </row>
    <row r="17" spans="1:8" ht="48" customHeight="1" x14ac:dyDescent="0.25">
      <c r="A17" s="408" t="str">
        <f>"Y "&amp;Datos!C6&amp;", identificado con NIT. "&amp;Datos!C7&amp;", representado legalmente por "&amp;Datos!C3&amp;", con C.C. "&amp;Datos!C4&amp;",  acordamos celebrar EL PRESENTE CONTRATO: "&amp;Datos!C8&amp;",  el cual se regirá por las siguientes cláusulas:--------------------------------------------------------"</f>
        <v>Y JOSE ALEXANDER ARBOLEDA CARDONA, identificado con NIT. 71,377,271-6, representado legalmente por JOSE ALEXANDER ARBOLEDA CARDONA, con C.C. 71.377.271,  acordamos celebrar EL PRESENTE CONTRATO: Compra de materiales tecnologicos,  el cual se regirá por las siguientes cláusulas:--------------------------------------------------------</v>
      </c>
      <c r="B17" s="408"/>
      <c r="C17" s="408"/>
      <c r="D17" s="408"/>
      <c r="E17" s="408"/>
      <c r="F17" s="408"/>
      <c r="G17" s="408"/>
      <c r="H17" s="408"/>
    </row>
    <row r="18" spans="1:8" x14ac:dyDescent="0.25">
      <c r="A18" s="59"/>
      <c r="B18" s="59"/>
      <c r="C18" s="59"/>
      <c r="D18" s="59"/>
      <c r="E18" s="59"/>
      <c r="F18" s="59"/>
      <c r="G18" s="59"/>
      <c r="H18" s="59"/>
    </row>
    <row r="19" spans="1:8" ht="29.25" customHeight="1" x14ac:dyDescent="0.25">
      <c r="A19" s="408" t="str">
        <f>+"PRIMERA. OBLIGACIONES DEL CONTRATISTA: El CONTRATISTA se obliga con la "&amp;Datos!B49&amp;" a lo siguiente:-------------------------------------------------------------"</f>
        <v>PRIMERA. OBLIGACIONES DEL CONTRATISTA: El CONTRATISTA se obliga con la INSTITUCIÓN EDUCATIVA JOAQUIN VALLEJO ARBELAEZ a lo siguiente:-------------------------------------------------------------</v>
      </c>
      <c r="B19" s="408"/>
      <c r="C19" s="408"/>
      <c r="D19" s="408"/>
      <c r="E19" s="408"/>
      <c r="F19" s="408"/>
      <c r="G19" s="408"/>
      <c r="H19" s="408"/>
    </row>
    <row r="20" spans="1:8" ht="33" customHeight="1" x14ac:dyDescent="0.25">
      <c r="A20" s="408" t="s">
        <v>213</v>
      </c>
      <c r="B20" s="408"/>
      <c r="C20" s="408"/>
      <c r="D20" s="408"/>
      <c r="E20" s="408"/>
      <c r="F20" s="408"/>
      <c r="G20" s="408"/>
      <c r="H20" s="408"/>
    </row>
    <row r="21" spans="1:8" x14ac:dyDescent="0.25">
      <c r="A21" s="43"/>
      <c r="B21" s="43"/>
      <c r="C21" s="43"/>
      <c r="D21" s="43"/>
      <c r="E21" s="43"/>
      <c r="F21" s="43"/>
      <c r="G21" s="43"/>
      <c r="H21" s="43"/>
    </row>
    <row r="22" spans="1:8" ht="15.6" customHeight="1" x14ac:dyDescent="0.25">
      <c r="A22" s="307" t="str">
        <f>Datos!H69</f>
        <v>CANTIDADES</v>
      </c>
      <c r="B22" s="307"/>
      <c r="C22" s="307" t="str">
        <f>Datos!I69</f>
        <v>DETALLE</v>
      </c>
      <c r="D22" s="307"/>
      <c r="E22" s="307"/>
      <c r="F22" s="307"/>
      <c r="G22" s="307"/>
      <c r="H22" s="307"/>
    </row>
    <row r="23" spans="1:8" ht="15.6" customHeight="1" x14ac:dyDescent="0.25">
      <c r="A23" s="314">
        <f>IF(ISBLANK(Datos!H70),"",Datos!H70)</f>
        <v>20</v>
      </c>
      <c r="B23" s="316"/>
      <c r="C23" s="403" t="str">
        <f>IF(ISBLANK(Datos!I70),"",Datos!I70)</f>
        <v>COMBO TECLADO Y MAUSE ALAMBRICO</v>
      </c>
      <c r="D23" s="404"/>
      <c r="E23" s="404"/>
      <c r="F23" s="404"/>
      <c r="G23" s="404"/>
      <c r="H23" s="405"/>
    </row>
    <row r="24" spans="1:8" ht="15.6" customHeight="1" x14ac:dyDescent="0.25">
      <c r="A24" s="314">
        <f>IF(ISBLANK(Datos!H71),"",Datos!H71)</f>
        <v>21</v>
      </c>
      <c r="B24" s="316"/>
      <c r="C24" s="403" t="str">
        <f>IF(ISBLANK(Datos!I71),"",Datos!I71)</f>
        <v>DIADEMA PARA SONIDO</v>
      </c>
      <c r="D24" s="404"/>
      <c r="E24" s="404"/>
      <c r="F24" s="404"/>
      <c r="G24" s="404"/>
      <c r="H24" s="405"/>
    </row>
    <row r="25" spans="1:8" ht="15.6" customHeight="1" x14ac:dyDescent="0.25">
      <c r="A25" s="314">
        <f>IF(ISBLANK(Datos!H72),"",Datos!H72)</f>
        <v>1</v>
      </c>
      <c r="B25" s="316"/>
      <c r="C25" s="403" t="str">
        <f>IF(ISBLANK(Datos!I72),"",Datos!I72)</f>
        <v>BASE PARA VIDEO BEAM</v>
      </c>
      <c r="D25" s="404"/>
      <c r="E25" s="404"/>
      <c r="F25" s="404"/>
      <c r="G25" s="404"/>
      <c r="H25" s="405"/>
    </row>
    <row r="26" spans="1:8" ht="15" customHeight="1" x14ac:dyDescent="0.25">
      <c r="A26" s="155"/>
      <c r="B26" s="155"/>
      <c r="C26" s="155"/>
      <c r="D26" s="155"/>
      <c r="E26" s="155"/>
      <c r="F26" s="155"/>
      <c r="G26" s="155"/>
      <c r="H26" s="155"/>
    </row>
    <row r="27" spans="1:8" ht="32.25" customHeight="1" x14ac:dyDescent="0.25">
      <c r="A27" s="408" t="str">
        <f>+"2. A entregar los bienes y/o servicios de acuerdo con los pedidos  solicitados por el contratante durante el tiempo de la ejecución del contrato en un plazo no mayor a "&amp;Datos!C39&amp;"  luego de  que el contratante realice el pedido.--------------------------------------------------"</f>
        <v>2. A entregar los bienes y/o servicios de acuerdo con los pedidos  solicitados por el contratante durante el tiempo de la ejecución del contrato en un plazo no mayor a 4 dias  luego de  que el contratante realice el pedido.--------------------------------------------------</v>
      </c>
      <c r="B27" s="408"/>
      <c r="C27" s="408"/>
      <c r="D27" s="408"/>
      <c r="E27" s="408"/>
      <c r="F27" s="408"/>
      <c r="G27" s="408"/>
      <c r="H27" s="408"/>
    </row>
    <row r="28" spans="1:8" x14ac:dyDescent="0.25">
      <c r="A28" s="59"/>
      <c r="B28" s="59"/>
      <c r="C28" s="59"/>
      <c r="D28" s="59"/>
      <c r="E28" s="59"/>
      <c r="F28" s="59"/>
      <c r="G28" s="59"/>
      <c r="H28" s="59"/>
    </row>
    <row r="29" spans="1:8" ht="30.75" customHeight="1" x14ac:dyDescent="0.25">
      <c r="A29" s="409" t="str">
        <f>+"3. A entregar los bienes y/o servicios de buena calidad en las instalaciones de la "&amp;Datos!B49&amp;", ubicada en la "&amp;Datos!B55&amp;" o donde se designe por la Contingencia.-----------------------------------------------"</f>
        <v>3. A entregar los bienes y/o servicios de buena calidad en las instalaciones de la INSTITUCIÓN EDUCATIVA JOAQUIN VALLEJO ARBELAEZ, ubicada en la CARRERA 19 N° 59 C 175 o donde se designe por la Contingencia.-----------------------------------------------</v>
      </c>
      <c r="B29" s="409"/>
      <c r="C29" s="409"/>
      <c r="D29" s="409"/>
      <c r="E29" s="409"/>
      <c r="F29" s="409"/>
      <c r="G29" s="409"/>
      <c r="H29" s="409"/>
    </row>
    <row r="30" spans="1:8" x14ac:dyDescent="0.25">
      <c r="A30" s="59"/>
      <c r="B30" s="59"/>
      <c r="C30" s="59"/>
      <c r="D30" s="59"/>
      <c r="E30" s="59"/>
      <c r="F30" s="59"/>
      <c r="G30" s="59"/>
      <c r="H30" s="59"/>
    </row>
    <row r="31" spans="1:8" ht="54" customHeight="1" x14ac:dyDescent="0.25">
      <c r="A31" s="407" t="s">
        <v>277</v>
      </c>
      <c r="B31" s="408"/>
      <c r="C31" s="408"/>
      <c r="D31" s="408"/>
      <c r="E31" s="408"/>
      <c r="F31" s="408"/>
      <c r="G31" s="408"/>
      <c r="H31" s="408"/>
    </row>
    <row r="32" spans="1:8" x14ac:dyDescent="0.25">
      <c r="A32" s="60"/>
      <c r="B32" s="59"/>
      <c r="C32" s="59"/>
      <c r="D32" s="59"/>
      <c r="E32" s="59"/>
      <c r="F32" s="59"/>
      <c r="G32" s="59"/>
      <c r="H32" s="59"/>
    </row>
    <row r="33" spans="1:8" x14ac:dyDescent="0.25">
      <c r="A33" s="406" t="str">
        <f>+"TERCERA. DURACIÓN: El presente contrato tendrá una duración del "&amp;Datos!C21&amp;", contados a partir de "&amp;Datos!C37&amp;".-------------------------------"</f>
        <v>TERCERA. DURACIÓN: El presente contrato tendrá una duración del 4 dias, contados a partir de 19 de junio de 2020.-------------------------------</v>
      </c>
      <c r="B33" s="406"/>
      <c r="C33" s="406"/>
      <c r="D33" s="406"/>
      <c r="E33" s="406"/>
      <c r="F33" s="406"/>
      <c r="G33" s="406"/>
      <c r="H33" s="406"/>
    </row>
    <row r="34" spans="1:8" x14ac:dyDescent="0.25">
      <c r="A34" s="43"/>
      <c r="B34" s="43"/>
      <c r="C34" s="43"/>
      <c r="D34" s="43"/>
      <c r="E34" s="43"/>
      <c r="F34" s="43"/>
      <c r="G34" s="43"/>
      <c r="H34" s="43"/>
    </row>
    <row r="35" spans="1:8" ht="30" customHeight="1" x14ac:dyDescent="0.25">
      <c r="A35" s="418" t="s">
        <v>214</v>
      </c>
      <c r="B35" s="406"/>
      <c r="C35" s="406"/>
      <c r="D35" s="406"/>
      <c r="E35" s="406"/>
      <c r="F35" s="406"/>
      <c r="G35" s="406"/>
      <c r="H35" s="406"/>
    </row>
    <row r="36" spans="1:8" x14ac:dyDescent="0.25">
      <c r="A36" s="48"/>
      <c r="B36" s="46"/>
      <c r="C36" s="46"/>
      <c r="D36" s="46"/>
      <c r="E36" s="46"/>
      <c r="F36" s="46"/>
      <c r="G36" s="46"/>
      <c r="H36" s="46"/>
    </row>
    <row r="37" spans="1:8" ht="47.25" customHeight="1" x14ac:dyDescent="0.25">
      <c r="A37" s="408" t="str">
        <f>+"QUINTA.  OBLIGACIÓN LABORAL: Ni la "&amp;Datos!B49&amp;" ni "&amp;Datos!B52&amp;", adquieren relación laboral u obligación de este tipo con el CONTRATISTA, en relación al objeto de este contrato, por lo tanto con el pago de la suma aquí pactada, el CONTRATISTA manifiesta que el CONTRATANTE se encuentra a paz y salvo por el servicio---"</f>
        <v>QUINTA.  OBLIGACIÓN LABORAL: Ni la INSTITUCIÓN EDUCATIVA JOAQUIN VALLEJO ARBELAEZ ni CARLOS MARIO GIRALDO JIMENEZ, adquieren relación laboral u obligación de este tipo con el CONTRATISTA, en relación al objeto de este contrato, por lo tanto con el pago de la suma aquí pactada, el CONTRATISTA manifiesta que el CONTRATANTE se encuentra a paz y salvo por el servicio---</v>
      </c>
      <c r="B37" s="408"/>
      <c r="C37" s="408"/>
      <c r="D37" s="408"/>
      <c r="E37" s="408"/>
      <c r="F37" s="408"/>
      <c r="G37" s="408"/>
      <c r="H37" s="408"/>
    </row>
    <row r="38" spans="1:8" x14ac:dyDescent="0.25">
      <c r="A38" s="43"/>
      <c r="B38" s="43"/>
      <c r="C38" s="43"/>
      <c r="D38" s="43"/>
      <c r="E38" s="43"/>
      <c r="F38" s="43"/>
      <c r="G38" s="43"/>
      <c r="H38" s="43"/>
    </row>
    <row r="39" spans="1:8" ht="46.5" customHeight="1" x14ac:dyDescent="0.25">
      <c r="A39" s="407" t="str">
        <f>+"SEXTA. SUPERVISIÓN: La supervisión de este contrato estará a cargo de "&amp;Datos!B52&amp;" como ordenador del gasto y como administrador del Fondo de Servicios Educativos, quien  velará por el estricto cumplimiento del objeto del contrato, incluida las obligaciones del contratista."</f>
        <v>SEXTA. SUPERVISIÓN: La supervisión de este contrato estará a cargo de CARLOS MARIO GIRALDO JIMENEZ como ordenador del gasto y como administrador del Fondo de Servicios Educativos, quien  velará por el estricto cumplimiento del objeto del contrato, incluida las obligaciones del contratista.</v>
      </c>
      <c r="B39" s="408"/>
      <c r="C39" s="408"/>
      <c r="D39" s="408"/>
      <c r="E39" s="408"/>
      <c r="F39" s="408"/>
      <c r="G39" s="408"/>
      <c r="H39" s="408"/>
    </row>
    <row r="40" spans="1:8" x14ac:dyDescent="0.25">
      <c r="A40" s="418" t="s">
        <v>299</v>
      </c>
      <c r="B40" s="406"/>
      <c r="C40" s="406"/>
      <c r="D40" s="406"/>
      <c r="E40" s="406"/>
      <c r="F40" s="406"/>
      <c r="G40" s="406"/>
      <c r="H40" s="406"/>
    </row>
    <row r="41" spans="1:8" x14ac:dyDescent="0.25">
      <c r="A41" s="48"/>
      <c r="B41" s="46"/>
      <c r="C41" s="46"/>
      <c r="D41" s="46"/>
      <c r="E41" s="46"/>
      <c r="F41" s="46"/>
      <c r="G41" s="46"/>
      <c r="H41" s="46"/>
    </row>
    <row r="42" spans="1:8" ht="29.25" customHeight="1" x14ac:dyDescent="0.25">
      <c r="A42" s="407" t="s">
        <v>215</v>
      </c>
      <c r="B42" s="407"/>
      <c r="C42" s="407"/>
      <c r="D42" s="407"/>
      <c r="E42" s="407"/>
      <c r="F42" s="407"/>
      <c r="G42" s="407"/>
      <c r="H42" s="407"/>
    </row>
    <row r="43" spans="1:8" x14ac:dyDescent="0.25">
      <c r="A43" s="60"/>
      <c r="B43" s="60"/>
      <c r="C43" s="60"/>
      <c r="D43" s="60"/>
      <c r="E43" s="60"/>
      <c r="F43" s="60"/>
      <c r="G43" s="60"/>
      <c r="H43" s="60"/>
    </row>
    <row r="44" spans="1:8" ht="42.75" customHeight="1" x14ac:dyDescent="0.25">
      <c r="A44" s="407" t="s">
        <v>216</v>
      </c>
      <c r="B44" s="408"/>
      <c r="C44" s="408"/>
      <c r="D44" s="408"/>
      <c r="E44" s="408"/>
      <c r="F44" s="408"/>
      <c r="G44" s="408"/>
      <c r="H44" s="408"/>
    </row>
    <row r="45" spans="1:8" x14ac:dyDescent="0.25">
      <c r="A45" s="48"/>
      <c r="B45" s="46"/>
      <c r="C45" s="46"/>
      <c r="D45" s="46"/>
      <c r="E45" s="46"/>
      <c r="F45" s="46"/>
      <c r="G45" s="46"/>
      <c r="H45" s="46"/>
    </row>
    <row r="46" spans="1:8" ht="43.5" customHeight="1" x14ac:dyDescent="0.25">
      <c r="A46" s="420" t="s">
        <v>238</v>
      </c>
      <c r="B46" s="420"/>
      <c r="C46" s="420"/>
      <c r="D46" s="420"/>
      <c r="E46" s="420"/>
      <c r="F46" s="420"/>
      <c r="G46" s="420"/>
      <c r="H46" s="420"/>
    </row>
    <row r="47" spans="1:8" x14ac:dyDescent="0.25">
      <c r="A47" s="48"/>
      <c r="B47" s="46"/>
      <c r="C47" s="46"/>
      <c r="D47" s="46"/>
      <c r="E47" s="46"/>
      <c r="F47" s="46"/>
      <c r="G47" s="46"/>
      <c r="H47" s="46"/>
    </row>
    <row r="48" spans="1:8" ht="29.25" customHeight="1" x14ac:dyDescent="0.25">
      <c r="A48" s="406" t="str">
        <f>+"DÉCIMA. DOMICILIO: Para todos los efectos legales, relacionados con el desarrollo de este contrato,  se fija como domicilio el Municipio de "&amp;Datos!B50&amp;". La dirección del contratista es "&amp;Datos!C40&amp;" y la del contratante es "&amp;Datos!B55&amp;".---------------------------"</f>
        <v>DÉCIMA. DOMICILIO: Para todos los efectos legales, relacionados con el desarrollo de este contrato,  se fija como domicilio el Municipio de MEDELLÍN. La dirección del contratista es  y la del contratante es CARRERA 19 N° 59 C 175.---------------------------</v>
      </c>
      <c r="B48" s="406"/>
      <c r="C48" s="406"/>
      <c r="D48" s="406"/>
      <c r="E48" s="406"/>
      <c r="F48" s="406"/>
      <c r="G48" s="406"/>
      <c r="H48" s="406"/>
    </row>
    <row r="49" spans="1:13" x14ac:dyDescent="0.25">
      <c r="A49" s="26"/>
      <c r="B49" s="26"/>
      <c r="C49" s="26"/>
      <c r="D49" s="26"/>
      <c r="E49" s="26"/>
      <c r="F49" s="26"/>
      <c r="G49" s="26"/>
      <c r="H49" s="26"/>
    </row>
    <row r="50" spans="1:13" x14ac:dyDescent="0.25">
      <c r="A50" s="419" t="str">
        <f>+"Para constancia se firma en la ciudad de "&amp;Datos!B50&amp;" el "&amp;Datos!J65&amp;""</f>
        <v>Para constancia se firma en la ciudad de MEDELLÍN el 19 de junio de 2020</v>
      </c>
      <c r="B50" s="419"/>
      <c r="C50" s="419"/>
      <c r="D50" s="419"/>
      <c r="E50" s="419"/>
      <c r="F50" s="419"/>
      <c r="G50" s="419"/>
      <c r="H50" s="419"/>
    </row>
    <row r="51" spans="1:13" x14ac:dyDescent="0.25">
      <c r="A51" s="26"/>
      <c r="B51" s="26"/>
      <c r="C51" s="26"/>
      <c r="D51" s="26"/>
      <c r="E51" s="26"/>
      <c r="F51" s="26"/>
      <c r="G51" s="26"/>
      <c r="H51" s="26"/>
    </row>
    <row r="52" spans="1:13" ht="15" customHeight="1" x14ac:dyDescent="0.25">
      <c r="A52" s="422" t="s">
        <v>154</v>
      </c>
      <c r="B52" s="422"/>
      <c r="C52" s="422"/>
      <c r="D52" s="69"/>
      <c r="E52" s="69"/>
      <c r="F52" s="422" t="s">
        <v>155</v>
      </c>
      <c r="G52" s="422"/>
      <c r="H52" s="422"/>
    </row>
    <row r="53" spans="1:13" x14ac:dyDescent="0.25">
      <c r="A53" s="64"/>
      <c r="B53" s="64"/>
      <c r="C53" s="64"/>
      <c r="D53" s="64"/>
      <c r="E53" s="64"/>
      <c r="F53" s="64"/>
      <c r="G53" s="64"/>
      <c r="H53" s="64"/>
    </row>
    <row r="54" spans="1:13" x14ac:dyDescent="0.25">
      <c r="A54" s="64"/>
      <c r="B54" s="64"/>
      <c r="C54" s="64"/>
      <c r="D54" s="64"/>
      <c r="E54" s="64"/>
      <c r="F54" s="64"/>
      <c r="G54" s="64"/>
      <c r="H54" s="64"/>
    </row>
    <row r="55" spans="1:13" x14ac:dyDescent="0.25">
      <c r="A55" s="46"/>
      <c r="B55" s="46"/>
      <c r="C55" s="46"/>
      <c r="D55" s="46"/>
      <c r="E55" s="46"/>
      <c r="F55" s="46"/>
      <c r="G55" s="46"/>
      <c r="H55" s="46"/>
    </row>
    <row r="56" spans="1:13" x14ac:dyDescent="0.25">
      <c r="A56" s="423" t="str">
        <f>+""&amp;Datos!B51&amp;""</f>
        <v>CARLOS MARIO GIRALDO JIMENEZ
Rector</v>
      </c>
      <c r="B56" s="423"/>
      <c r="C56" s="423"/>
      <c r="D56" s="46"/>
      <c r="E56" s="46"/>
      <c r="F56" s="427" t="str">
        <f>+""&amp;Datos!C3&amp;""</f>
        <v>JOSE ALEXANDER ARBOLEDA CARDONA</v>
      </c>
      <c r="G56" s="427"/>
      <c r="H56" s="427"/>
    </row>
    <row r="57" spans="1:13" x14ac:dyDescent="0.25">
      <c r="A57" s="424"/>
      <c r="B57" s="424"/>
      <c r="C57" s="424"/>
      <c r="D57" s="46"/>
      <c r="E57" s="46"/>
      <c r="F57" s="425" t="str">
        <f>+"C.C."&amp;Datos!C4&amp;""</f>
        <v>C.C.71.377.271</v>
      </c>
      <c r="G57" s="425"/>
      <c r="H57" s="425"/>
    </row>
    <row r="58" spans="1:13" ht="35.25" customHeight="1" x14ac:dyDescent="0.25">
      <c r="A58" s="426" t="str">
        <f>+"C.C."&amp;Datos!B53&amp;""</f>
        <v>C.C.71.661.819</v>
      </c>
      <c r="B58" s="426"/>
      <c r="C58" s="426"/>
      <c r="D58" s="62"/>
      <c r="E58" s="62"/>
      <c r="F58" s="421" t="str">
        <f>+"Representante legal de "&amp;Datos!C6&amp;""</f>
        <v>Representante legal de JOSE ALEXANDER ARBOLEDA CARDONA</v>
      </c>
      <c r="G58" s="421"/>
      <c r="H58" s="421"/>
      <c r="I58" s="71"/>
      <c r="J58" s="71"/>
      <c r="K58" s="71"/>
      <c r="L58" s="71"/>
      <c r="M58" s="71"/>
    </row>
    <row r="59" spans="1:13" x14ac:dyDescent="0.25">
      <c r="A59" s="61"/>
      <c r="B59" s="61"/>
      <c r="C59" s="61"/>
      <c r="D59" s="61"/>
      <c r="E59" s="61"/>
      <c r="F59" s="61"/>
      <c r="G59" s="61"/>
      <c r="H59" s="61"/>
    </row>
    <row r="60" spans="1:13" x14ac:dyDescent="0.25">
      <c r="A60" s="61"/>
      <c r="B60" s="61"/>
      <c r="C60" s="61"/>
      <c r="D60" s="61"/>
      <c r="E60" s="61"/>
      <c r="F60" s="61"/>
      <c r="G60" s="61"/>
      <c r="H60" s="61"/>
    </row>
    <row r="61" spans="1:13" x14ac:dyDescent="0.25">
      <c r="A61" s="61"/>
      <c r="B61" s="61"/>
      <c r="C61" s="61"/>
      <c r="D61" s="61"/>
      <c r="E61" s="61"/>
      <c r="F61" s="61"/>
      <c r="G61" s="61"/>
      <c r="H61" s="61"/>
    </row>
    <row r="62" spans="1:13" x14ac:dyDescent="0.25">
      <c r="B62" s="70"/>
      <c r="C62" s="70"/>
      <c r="D62" s="70"/>
      <c r="E62" s="70"/>
      <c r="F62" s="70"/>
      <c r="G62" s="70"/>
      <c r="H62" s="70"/>
    </row>
    <row r="63" spans="1:13" x14ac:dyDescent="0.25">
      <c r="A63" s="63"/>
      <c r="B63" s="63"/>
      <c r="C63" s="63"/>
      <c r="D63" s="63"/>
      <c r="E63" s="63"/>
      <c r="F63" s="63"/>
      <c r="G63" s="63"/>
      <c r="H63" s="63"/>
    </row>
    <row r="64" spans="1:13" x14ac:dyDescent="0.25">
      <c r="A64" s="47"/>
      <c r="B64" s="47"/>
      <c r="C64" s="47"/>
      <c r="D64" s="47"/>
      <c r="E64" s="47"/>
      <c r="F64" s="47"/>
      <c r="G64" s="47"/>
      <c r="H64" s="47"/>
    </row>
    <row r="65" spans="1:8" x14ac:dyDescent="0.25">
      <c r="A65" s="47"/>
      <c r="B65" s="47"/>
      <c r="C65" s="47"/>
      <c r="D65" s="47"/>
      <c r="E65" s="47"/>
      <c r="F65" s="47"/>
      <c r="G65" s="47"/>
      <c r="H65" s="47"/>
    </row>
    <row r="66" spans="1:8" x14ac:dyDescent="0.25">
      <c r="D66" s="47"/>
      <c r="E66" s="47"/>
      <c r="F66" s="47"/>
      <c r="G66" s="47"/>
      <c r="H66" s="47"/>
    </row>
    <row r="67" spans="1:8" ht="30" customHeight="1" x14ac:dyDescent="0.25"/>
    <row r="68" spans="1:8" x14ac:dyDescent="0.25">
      <c r="A68" s="26"/>
      <c r="B68" s="26"/>
      <c r="C68" s="26"/>
      <c r="D68" s="26"/>
      <c r="E68" s="26"/>
      <c r="F68" s="26"/>
      <c r="G68" s="26"/>
      <c r="H68" s="26"/>
    </row>
  </sheetData>
  <mergeCells count="52">
    <mergeCell ref="F58:H58"/>
    <mergeCell ref="F52:H52"/>
    <mergeCell ref="A52:C52"/>
    <mergeCell ref="A56:C57"/>
    <mergeCell ref="F57:H57"/>
    <mergeCell ref="A58:C58"/>
    <mergeCell ref="F56:H56"/>
    <mergeCell ref="A35:H35"/>
    <mergeCell ref="A39:H39"/>
    <mergeCell ref="A44:H44"/>
    <mergeCell ref="A48:H48"/>
    <mergeCell ref="A50:H50"/>
    <mergeCell ref="A40:H40"/>
    <mergeCell ref="A37:H37"/>
    <mergeCell ref="A42:H42"/>
    <mergeCell ref="A46:H46"/>
    <mergeCell ref="A1:H1"/>
    <mergeCell ref="A13:H13"/>
    <mergeCell ref="A17:H17"/>
    <mergeCell ref="A2:H2"/>
    <mergeCell ref="C6:H6"/>
    <mergeCell ref="C7:H7"/>
    <mergeCell ref="A8:B8"/>
    <mergeCell ref="C8:H8"/>
    <mergeCell ref="C9:H9"/>
    <mergeCell ref="C10:H10"/>
    <mergeCell ref="A12:H12"/>
    <mergeCell ref="A3:B3"/>
    <mergeCell ref="C3:H3"/>
    <mergeCell ref="A7:B7"/>
    <mergeCell ref="A15:H15"/>
    <mergeCell ref="A9:B9"/>
    <mergeCell ref="A10:B10"/>
    <mergeCell ref="A20:H20"/>
    <mergeCell ref="A19:H19"/>
    <mergeCell ref="A22:B22"/>
    <mergeCell ref="C22:H22"/>
    <mergeCell ref="A23:B23"/>
    <mergeCell ref="C23:H23"/>
    <mergeCell ref="A33:H33"/>
    <mergeCell ref="A31:H31"/>
    <mergeCell ref="A29:H29"/>
    <mergeCell ref="A27:H27"/>
    <mergeCell ref="A24:B24"/>
    <mergeCell ref="A25:B25"/>
    <mergeCell ref="C24:H24"/>
    <mergeCell ref="C25:H25"/>
    <mergeCell ref="A4:B4"/>
    <mergeCell ref="C4:H4"/>
    <mergeCell ref="A5:B5"/>
    <mergeCell ref="C5:H5"/>
    <mergeCell ref="A6:B6"/>
  </mergeCells>
  <printOptions horizontalCentered="1"/>
  <pageMargins left="0.53125" right="0.31496062992125984" top="1.4678125" bottom="0.92625000000000002" header="0.35433070866141736" footer="0.19791666666666666"/>
  <pageSetup scale="96" fitToWidth="2" fitToHeight="2" orientation="portrait" r:id="rId1"/>
  <headerFooter>
    <oddHeader>&amp;C&amp;G</oddHeader>
    <oddFooter>&amp;C&amp;G
Página &amp;P de &amp;N&amp;RContrato</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Datos</vt:lpstr>
      <vt:lpstr>Est Prev</vt:lpstr>
      <vt:lpstr>Res Aper</vt:lpstr>
      <vt:lpstr>Invitación</vt:lpstr>
      <vt:lpstr>RecepProp</vt:lpstr>
      <vt:lpstr>ActaCierre</vt:lpstr>
      <vt:lpstr>Evaluación</vt:lpstr>
      <vt:lpstr>Res Adjud</vt:lpstr>
      <vt:lpstr>Contrato</vt:lpstr>
      <vt:lpstr>ReciboSatis</vt:lpstr>
      <vt:lpstr>ActaLiquida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beatriz</cp:lastModifiedBy>
  <cp:lastPrinted>2020-06-23T21:18:06Z</cp:lastPrinted>
  <dcterms:created xsi:type="dcterms:W3CDTF">2015-09-11T21:46:17Z</dcterms:created>
  <dcterms:modified xsi:type="dcterms:W3CDTF">2020-07-25T17:29:50Z</dcterms:modified>
</cp:coreProperties>
</file>