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20" windowWidth="19200" windowHeight="6645" tabRatio="922" activeTab="10"/>
  </bookViews>
  <sheets>
    <sheet name="Datos" sheetId="1" r:id="rId1"/>
    <sheet name="Est Prev" sheetId="2" r:id="rId2"/>
    <sheet name="Res Aper" sheetId="3" r:id="rId3"/>
    <sheet name="Invitación" sheetId="4" r:id="rId4"/>
    <sheet name="RecepProp" sheetId="5" r:id="rId5"/>
    <sheet name="ActaCierre" sheetId="6" r:id="rId6"/>
    <sheet name="Evaluación" sheetId="7" r:id="rId7"/>
    <sheet name="Res Adjud" sheetId="8" r:id="rId8"/>
    <sheet name="Contrato" sheetId="10" r:id="rId9"/>
    <sheet name="ReciboSatis" sheetId="11" r:id="rId10"/>
    <sheet name="ActaLiquida" sheetId="12" r:id="rId11"/>
  </sheets>
  <calcPr calcId="162913"/>
</workbook>
</file>

<file path=xl/calcChain.xml><?xml version="1.0" encoding="utf-8"?>
<calcChain xmlns="http://schemas.openxmlformats.org/spreadsheetml/2006/main">
  <c r="C25" i="4" l="1"/>
  <c r="C26" i="4"/>
  <c r="A25" i="4"/>
  <c r="A26" i="4"/>
  <c r="C23" i="4"/>
  <c r="C24" i="4"/>
  <c r="A23" i="4"/>
  <c r="A24" i="4"/>
  <c r="C17" i="4"/>
  <c r="C18" i="4"/>
  <c r="C19" i="4"/>
  <c r="C20" i="4"/>
  <c r="C21" i="4"/>
  <c r="C22" i="4"/>
  <c r="A17" i="4"/>
  <c r="A18" i="4"/>
  <c r="A19" i="4"/>
  <c r="A20" i="4"/>
  <c r="A21" i="4"/>
  <c r="A22" i="4"/>
  <c r="C19" i="2" l="1"/>
  <c r="C20" i="2"/>
  <c r="C21" i="2"/>
  <c r="C22" i="2"/>
  <c r="A22" i="2"/>
  <c r="A19" i="2"/>
  <c r="A20" i="2"/>
  <c r="A21" i="2"/>
  <c r="C13" i="2"/>
  <c r="C14" i="2"/>
  <c r="C15" i="2"/>
  <c r="C16" i="2"/>
  <c r="C17" i="2"/>
  <c r="C18" i="2"/>
  <c r="A13" i="2"/>
  <c r="A14" i="2"/>
  <c r="A15" i="2"/>
  <c r="A16" i="2"/>
  <c r="A17" i="2"/>
  <c r="A18" i="2"/>
  <c r="C11" i="2" l="1"/>
  <c r="A44" i="4"/>
  <c r="A18" i="3"/>
  <c r="A50" i="2" l="1"/>
  <c r="E50" i="2"/>
  <c r="G50" i="2"/>
  <c r="A4" i="2" l="1"/>
  <c r="H13" i="1"/>
  <c r="H12" i="1"/>
  <c r="H10" i="1"/>
  <c r="H9" i="1"/>
  <c r="I16" i="1" l="1"/>
  <c r="I18" i="1" s="1"/>
  <c r="H11" i="1" s="1"/>
  <c r="A48" i="10" l="1"/>
  <c r="C24" i="10" l="1"/>
  <c r="C25" i="10"/>
  <c r="C26" i="10"/>
  <c r="C27" i="10"/>
  <c r="C28" i="10"/>
  <c r="C29" i="10"/>
  <c r="C30" i="10"/>
  <c r="C31" i="10"/>
  <c r="C32" i="10"/>
  <c r="C33" i="10"/>
  <c r="C34" i="10"/>
  <c r="A24" i="10"/>
  <c r="A25" i="10"/>
  <c r="A26" i="10"/>
  <c r="A27" i="10"/>
  <c r="A28" i="10"/>
  <c r="A29" i="10"/>
  <c r="A30" i="10"/>
  <c r="A31" i="10"/>
  <c r="A32" i="10"/>
  <c r="A33" i="10"/>
  <c r="A34" i="10"/>
  <c r="C16" i="4"/>
  <c r="A16" i="4"/>
  <c r="C12" i="2" l="1"/>
  <c r="A12" i="2"/>
  <c r="S51" i="1" l="1"/>
  <c r="G32" i="7" l="1"/>
  <c r="J32" i="7" s="1"/>
  <c r="G33" i="7"/>
  <c r="J33" i="7" s="1"/>
  <c r="G34" i="7"/>
  <c r="J34" i="7" s="1"/>
  <c r="G35" i="7"/>
  <c r="J35" i="7" s="1"/>
  <c r="G36" i="7"/>
  <c r="J36" i="7" s="1"/>
  <c r="G37" i="7"/>
  <c r="J37" i="7" s="1"/>
  <c r="G31" i="7"/>
  <c r="J31" i="7" s="1"/>
  <c r="W38" i="1"/>
  <c r="W58" i="1" s="1"/>
  <c r="V38" i="1"/>
  <c r="V47" i="1" s="1"/>
  <c r="U38" i="1"/>
  <c r="U58" i="1" s="1"/>
  <c r="T38" i="1"/>
  <c r="T45" i="1" s="1"/>
  <c r="S43" i="1"/>
  <c r="S38" i="1"/>
  <c r="S46" i="1" s="1"/>
  <c r="U49" i="1" l="1"/>
  <c r="I23" i="7" s="1"/>
  <c r="V50" i="1"/>
  <c r="V49" i="1"/>
  <c r="S45" i="1"/>
  <c r="T43" i="1"/>
  <c r="V46" i="1"/>
  <c r="T44" i="1"/>
  <c r="U45" i="1"/>
  <c r="W51" i="1"/>
  <c r="S49" i="1"/>
  <c r="G23" i="7" s="1"/>
  <c r="J23" i="7" s="1"/>
  <c r="U43" i="1"/>
  <c r="U57" i="1" s="1"/>
  <c r="U44" i="1"/>
  <c r="V45" i="1"/>
  <c r="W47" i="1"/>
  <c r="T48" i="1"/>
  <c r="U48" i="1"/>
  <c r="W43" i="1"/>
  <c r="S44" i="1"/>
  <c r="T57" i="1"/>
  <c r="V57" i="1"/>
  <c r="T51" i="1"/>
  <c r="T47" i="1"/>
  <c r="S57" i="1"/>
  <c r="S47" i="1"/>
  <c r="T50" i="1"/>
  <c r="T46" i="1"/>
  <c r="U51" i="1"/>
  <c r="U47" i="1"/>
  <c r="V43" i="1"/>
  <c r="V48" i="1"/>
  <c r="V44" i="1"/>
  <c r="W50" i="1"/>
  <c r="W46" i="1"/>
  <c r="T58" i="1"/>
  <c r="V58" i="1"/>
  <c r="S48" i="1"/>
  <c r="S58" i="1"/>
  <c r="S50" i="1"/>
  <c r="T49" i="1"/>
  <c r="H23" i="7" s="1"/>
  <c r="U50" i="1"/>
  <c r="U46" i="1"/>
  <c r="V51" i="1"/>
  <c r="W49" i="1"/>
  <c r="W45" i="1"/>
  <c r="W57" i="1"/>
  <c r="W48" i="1"/>
  <c r="W44" i="1"/>
  <c r="F20" i="11"/>
  <c r="E9" i="11" l="1"/>
  <c r="E10" i="11"/>
  <c r="E11" i="11"/>
  <c r="E12" i="11"/>
  <c r="E13" i="11"/>
  <c r="E14" i="11"/>
  <c r="E15" i="11"/>
  <c r="E16" i="11"/>
  <c r="F16" i="11" s="1"/>
  <c r="E17" i="11"/>
  <c r="E18" i="11"/>
  <c r="E19" i="11"/>
  <c r="B9" i="11"/>
  <c r="B10" i="11"/>
  <c r="B11" i="11"/>
  <c r="B12" i="11"/>
  <c r="B13" i="11"/>
  <c r="B14" i="11"/>
  <c r="B15" i="11"/>
  <c r="B16" i="11"/>
  <c r="B17" i="11"/>
  <c r="B18" i="11"/>
  <c r="B19" i="11"/>
  <c r="A9" i="11"/>
  <c r="A10" i="11"/>
  <c r="A11" i="11"/>
  <c r="A12" i="11"/>
  <c r="A13" i="11"/>
  <c r="A14" i="11"/>
  <c r="A15" i="11"/>
  <c r="A16" i="11"/>
  <c r="A17" i="11"/>
  <c r="A18" i="11"/>
  <c r="A19" i="11"/>
  <c r="E8" i="11"/>
  <c r="F12" i="11" l="1"/>
  <c r="F19" i="11"/>
  <c r="F15" i="11"/>
  <c r="F11" i="11"/>
  <c r="F18" i="11"/>
  <c r="F14" i="11"/>
  <c r="F10" i="11"/>
  <c r="F17" i="11"/>
  <c r="F13" i="11"/>
  <c r="F9" i="11"/>
  <c r="H32" i="7"/>
  <c r="I32" i="7"/>
  <c r="H33" i="7"/>
  <c r="I33" i="7"/>
  <c r="H34" i="7"/>
  <c r="I34" i="7"/>
  <c r="H35" i="7"/>
  <c r="I35" i="7"/>
  <c r="H36" i="7"/>
  <c r="I36" i="7"/>
  <c r="H37" i="7"/>
  <c r="I37" i="7"/>
  <c r="I31" i="7"/>
  <c r="H31" i="7"/>
  <c r="A42" i="10"/>
  <c r="E58" i="4"/>
  <c r="A66" i="4" s="1"/>
  <c r="F43" i="7"/>
  <c r="A4" i="4"/>
  <c r="H9" i="6"/>
  <c r="G9" i="6"/>
  <c r="C9" i="6"/>
  <c r="B9" i="6"/>
  <c r="G49" i="2"/>
  <c r="G48" i="2"/>
  <c r="E49" i="2"/>
  <c r="E48" i="2"/>
  <c r="A48" i="2"/>
  <c r="A49" i="2"/>
  <c r="B49" i="2"/>
  <c r="C49" i="2"/>
  <c r="D49" i="2"/>
  <c r="D48" i="2"/>
  <c r="C48" i="2"/>
  <c r="B48" i="2"/>
  <c r="D55" i="2"/>
  <c r="B43" i="2"/>
  <c r="A24" i="2"/>
  <c r="F42" i="7" l="1"/>
  <c r="F41" i="7"/>
  <c r="A6" i="4" l="1"/>
  <c r="C35" i="1" l="1"/>
  <c r="C27" i="1"/>
  <c r="A15" i="10" s="1"/>
  <c r="C24" i="1"/>
  <c r="C19" i="1"/>
  <c r="A28" i="4" s="1"/>
  <c r="J45" i="1" l="1"/>
  <c r="J65" i="1"/>
  <c r="C39" i="1" l="1"/>
  <c r="A57" i="10" l="1"/>
  <c r="A6" i="8"/>
  <c r="A6" i="3"/>
  <c r="A35" i="12"/>
  <c r="A67" i="10"/>
  <c r="F34" i="12"/>
  <c r="F33" i="12"/>
  <c r="A33" i="12"/>
  <c r="F66" i="10"/>
  <c r="A65" i="10"/>
  <c r="D3" i="12"/>
  <c r="F65" i="10"/>
  <c r="A46" i="10"/>
  <c r="A19" i="10"/>
  <c r="A38" i="10"/>
  <c r="A13" i="10"/>
  <c r="A23" i="8"/>
  <c r="A12" i="8"/>
  <c r="A4" i="8"/>
  <c r="A1" i="8"/>
  <c r="F3" i="7"/>
  <c r="A4" i="6"/>
  <c r="A2" i="6"/>
  <c r="A4" i="5"/>
  <c r="A2" i="5"/>
  <c r="A29" i="4"/>
  <c r="A22" i="3"/>
  <c r="A15" i="3"/>
  <c r="A10" i="3"/>
  <c r="A9" i="3"/>
  <c r="A4" i="3"/>
  <c r="A26" i="2"/>
  <c r="A6" i="2"/>
  <c r="B74" i="4"/>
  <c r="A1" i="10"/>
  <c r="A1" i="2"/>
  <c r="C3" i="10"/>
  <c r="A1" i="4"/>
  <c r="A1" i="3"/>
  <c r="A36" i="10"/>
  <c r="C38" i="1"/>
  <c r="D7" i="12" s="1"/>
  <c r="A59" i="10"/>
  <c r="A22" i="12"/>
  <c r="A8" i="4"/>
  <c r="A9" i="6"/>
  <c r="C23" i="1"/>
  <c r="J12" i="1"/>
  <c r="J10" i="1"/>
  <c r="J9" i="1"/>
  <c r="D29" i="11"/>
  <c r="D4" i="12"/>
  <c r="C4" i="10"/>
  <c r="C36" i="1"/>
  <c r="A3" i="11" s="1"/>
  <c r="E62" i="4"/>
  <c r="E61" i="4"/>
  <c r="C43" i="1"/>
  <c r="A10" i="12" s="1"/>
  <c r="C72" i="4"/>
  <c r="D23" i="5"/>
  <c r="C20" i="6" s="1"/>
  <c r="D49" i="7" s="1"/>
  <c r="C29" i="3"/>
  <c r="AB17" i="1"/>
  <c r="AB18" i="1"/>
  <c r="A24" i="12"/>
  <c r="A14" i="12"/>
  <c r="D6" i="12"/>
  <c r="C8" i="10"/>
  <c r="C6" i="10"/>
  <c r="C9" i="7"/>
  <c r="I9" i="7"/>
  <c r="D9" i="7"/>
  <c r="B8" i="11"/>
  <c r="A8" i="11"/>
  <c r="F8" i="11" s="1"/>
  <c r="B7" i="11"/>
  <c r="A7" i="11"/>
  <c r="C23" i="10"/>
  <c r="A23" i="10"/>
  <c r="C22" i="10"/>
  <c r="A22" i="10"/>
  <c r="C14" i="4"/>
  <c r="A2" i="3"/>
  <c r="E63" i="4"/>
  <c r="E57" i="4"/>
  <c r="C15" i="4"/>
  <c r="A15" i="4"/>
  <c r="A14" i="4"/>
  <c r="A11" i="2"/>
  <c r="C10" i="2"/>
  <c r="A10" i="2"/>
  <c r="A2" i="8"/>
  <c r="B5" i="7"/>
  <c r="A6" i="6"/>
  <c r="A2" i="4"/>
  <c r="AB21" i="1"/>
  <c r="AB20" i="1"/>
  <c r="AB19" i="1"/>
  <c r="J11" i="1"/>
  <c r="J53" i="1"/>
  <c r="A24" i="6" s="1"/>
  <c r="A2" i="2"/>
  <c r="C10" i="10"/>
  <c r="J13" i="1" l="1"/>
  <c r="C12" i="1" s="1"/>
  <c r="H41" i="7"/>
  <c r="H26" i="7"/>
  <c r="H24" i="7"/>
  <c r="H25" i="7"/>
  <c r="I21" i="7"/>
  <c r="I25" i="7"/>
  <c r="I26" i="7"/>
  <c r="I24" i="7"/>
  <c r="G17" i="7"/>
  <c r="J17" i="7" s="1"/>
  <c r="G25" i="7"/>
  <c r="J25" i="7" s="1"/>
  <c r="G26" i="7"/>
  <c r="J26" i="7" s="1"/>
  <c r="G24" i="7"/>
  <c r="J24" i="7" s="1"/>
  <c r="I13" i="7"/>
  <c r="I20" i="7"/>
  <c r="I19" i="7"/>
  <c r="I22" i="7"/>
  <c r="I18" i="7"/>
  <c r="E59" i="4"/>
  <c r="J57" i="1"/>
  <c r="E60" i="4" s="1"/>
  <c r="C9" i="10"/>
  <c r="A26" i="12"/>
  <c r="AC17" i="1"/>
  <c r="C9" i="1" s="1"/>
  <c r="G13" i="7"/>
  <c r="J13" i="7" s="1"/>
  <c r="A14" i="6"/>
  <c r="H20" i="7"/>
  <c r="H18" i="7"/>
  <c r="G22" i="7"/>
  <c r="J22" i="7" s="1"/>
  <c r="G21" i="7"/>
  <c r="J21" i="7" s="1"/>
  <c r="G20" i="7"/>
  <c r="J20" i="7" s="1"/>
  <c r="H22" i="7"/>
  <c r="H21" i="7"/>
  <c r="H13" i="7"/>
  <c r="D28" i="8"/>
  <c r="K17" i="1" l="1"/>
  <c r="K18" i="1" s="1"/>
  <c r="K19" i="1" s="1"/>
  <c r="H17" i="7"/>
  <c r="I42" i="7"/>
  <c r="I41" i="7"/>
  <c r="H19" i="7"/>
  <c r="C6" i="1"/>
  <c r="B45" i="7" s="1"/>
  <c r="N60" i="1"/>
  <c r="B44" i="7" s="1"/>
  <c r="G41" i="7"/>
  <c r="G18" i="7"/>
  <c r="J18" i="7" s="1"/>
  <c r="G42" i="7"/>
  <c r="G19" i="7"/>
  <c r="J19" i="7" s="1"/>
  <c r="C7" i="1"/>
  <c r="I17" i="7"/>
  <c r="D3" i="7"/>
  <c r="W59" i="1"/>
  <c r="C7" i="10"/>
  <c r="A23" i="11"/>
  <c r="D8" i="12"/>
  <c r="C10" i="1" l="1"/>
  <c r="C5" i="10"/>
  <c r="A17" i="10"/>
  <c r="A16" i="8"/>
  <c r="F35" i="12"/>
  <c r="D5" i="12"/>
  <c r="F67" i="10"/>
  <c r="H42" i="7"/>
  <c r="T59" i="1"/>
  <c r="H43" i="7" s="1"/>
  <c r="U59" i="1"/>
  <c r="I43" i="7" s="1"/>
  <c r="A19" i="8"/>
  <c r="A5" i="11"/>
  <c r="A20" i="12"/>
  <c r="S59" i="1"/>
  <c r="V59" i="1"/>
  <c r="G43" i="7" l="1"/>
</calcChain>
</file>

<file path=xl/sharedStrings.xml><?xml version="1.0" encoding="utf-8"?>
<sst xmlns="http://schemas.openxmlformats.org/spreadsheetml/2006/main" count="471" uniqueCount="392">
  <si>
    <t>DATOS PARA EL PROCESO DE COMPRA</t>
  </si>
  <si>
    <t>C3</t>
  </si>
  <si>
    <t>REPRESENTANTE LEGAL</t>
  </si>
  <si>
    <t>C4</t>
  </si>
  <si>
    <t>C.C.</t>
  </si>
  <si>
    <t>C5</t>
  </si>
  <si>
    <t>EXPEDIDA EN:</t>
  </si>
  <si>
    <t>C6</t>
  </si>
  <si>
    <r>
      <t xml:space="preserve">EMPRESA: </t>
    </r>
    <r>
      <rPr>
        <sz val="12"/>
        <color indexed="8"/>
        <rFont val="Arial"/>
        <family val="2"/>
      </rPr>
      <t/>
    </r>
  </si>
  <si>
    <t>C7</t>
  </si>
  <si>
    <t>C.C./NIT:</t>
  </si>
  <si>
    <t>C8</t>
  </si>
  <si>
    <t>APROXIMADO</t>
  </si>
  <si>
    <t>C9</t>
  </si>
  <si>
    <t>C10</t>
  </si>
  <si>
    <t>VALOR PAGADO</t>
  </si>
  <si>
    <t>C11</t>
  </si>
  <si>
    <t>VALOR EN LETRAS</t>
  </si>
  <si>
    <t>RETE IVA 15% REGIMEN COMÚN</t>
  </si>
  <si>
    <t>C12</t>
  </si>
  <si>
    <t>C13</t>
  </si>
  <si>
    <t>FECHA O.COMP:</t>
  </si>
  <si>
    <t>C14</t>
  </si>
  <si>
    <t>VALOR ANTES DE IVA</t>
  </si>
  <si>
    <t>C15</t>
  </si>
  <si>
    <t>FECHA R. CAJA:</t>
  </si>
  <si>
    <t>IVA FACTURADO</t>
  </si>
  <si>
    <t>SELECCIÓN DE OFERENTES</t>
  </si>
  <si>
    <t>C16</t>
  </si>
  <si>
    <t xml:space="preserve">Cheque No. </t>
  </si>
  <si>
    <t>VALOR FACTURA CON IVA</t>
  </si>
  <si>
    <t>Oferente No.</t>
  </si>
  <si>
    <t>NOMBRE</t>
  </si>
  <si>
    <t>NIT</t>
  </si>
  <si>
    <t>VALOR</t>
  </si>
  <si>
    <t>FOLIOS</t>
  </si>
  <si>
    <t>REQUISITOS</t>
  </si>
  <si>
    <t>Precio</t>
  </si>
  <si>
    <t>Calidad</t>
  </si>
  <si>
    <t>Calificación</t>
  </si>
  <si>
    <t>Mejor Calificación</t>
  </si>
  <si>
    <t>C17</t>
  </si>
  <si>
    <t>FECHA LIQUIDACIÓN</t>
  </si>
  <si>
    <t>VALOR EXCENTO DE IVA</t>
  </si>
  <si>
    <t>C18</t>
  </si>
  <si>
    <t>FACTURA</t>
  </si>
  <si>
    <t>C19</t>
  </si>
  <si>
    <t>C20</t>
  </si>
  <si>
    <t>VALOR ESTUDIOS PREVIOS</t>
  </si>
  <si>
    <t>C21</t>
  </si>
  <si>
    <t>PLAZO:</t>
  </si>
  <si>
    <t>C22</t>
  </si>
  <si>
    <t>C23</t>
  </si>
  <si>
    <t>FECHA ESTUDIOS PREVIOS</t>
  </si>
  <si>
    <t>PRESENTACIÓN DE LA PROPUESTA ECONÓMICA Y CUMPLIMIENTO DE LAS ESPECIFICACIONES TÉCNICAS</t>
  </si>
  <si>
    <t>C24</t>
  </si>
  <si>
    <t>Detalle</t>
  </si>
  <si>
    <t>Oferente 1</t>
  </si>
  <si>
    <t>Oferente 2</t>
  </si>
  <si>
    <t>Oferente 3</t>
  </si>
  <si>
    <t>Oferente 4</t>
  </si>
  <si>
    <t>Oferente 5</t>
  </si>
  <si>
    <t>C25</t>
  </si>
  <si>
    <t>Oferta económica de los bienes y/o servicios según las especificaciones técnicas exigidas por la Institución</t>
  </si>
  <si>
    <t>C26</t>
  </si>
  <si>
    <t>Fecha Disponibilidad</t>
  </si>
  <si>
    <t>C27</t>
  </si>
  <si>
    <t>C28</t>
  </si>
  <si>
    <t>REGIMEN COMUN</t>
  </si>
  <si>
    <t>REQUISITOS HABILITANTES</t>
  </si>
  <si>
    <t>C29</t>
  </si>
  <si>
    <t>SERVICIO</t>
  </si>
  <si>
    <t>DETALLE</t>
  </si>
  <si>
    <t>C30</t>
  </si>
  <si>
    <t>C31</t>
  </si>
  <si>
    <t>Copia de Registro Único Tributario (RUT)</t>
  </si>
  <si>
    <t>C32</t>
  </si>
  <si>
    <t>C33</t>
  </si>
  <si>
    <t>C34</t>
  </si>
  <si>
    <t>C35</t>
  </si>
  <si>
    <t>CRONOGRAMA</t>
  </si>
  <si>
    <t>C36</t>
  </si>
  <si>
    <t>Etapa</t>
  </si>
  <si>
    <t>Trámites  Necesarios</t>
  </si>
  <si>
    <t>Términos</t>
  </si>
  <si>
    <t>C37</t>
  </si>
  <si>
    <t xml:space="preserve">Realizar los Estudios Previos: Definición  de  las condiciones  técnicas, valor estimado del contrato, plazo para la adquisición del bien o servicio, certificado de disponibilidad.  </t>
  </si>
  <si>
    <t>CRITERIOS DE EVALUACIÓN Y CALIFICACIÓN</t>
  </si>
  <si>
    <t>Criterio de Evaluación</t>
  </si>
  <si>
    <t>Puntaje Máximo</t>
  </si>
  <si>
    <t>Calificación económica (Menor precio)</t>
  </si>
  <si>
    <t>Total</t>
  </si>
  <si>
    <t>Recepción de propuestas.</t>
  </si>
  <si>
    <t>Desfije de publicación.</t>
  </si>
  <si>
    <t>Verificación de  requisitos  habilitantes y demás parámetros establecidos en la invitación.</t>
  </si>
  <si>
    <t>Recepción de observaciones al informe de evaluación.</t>
  </si>
  <si>
    <t>Recepción de observaciones</t>
  </si>
  <si>
    <t>Respuesta  a las  observaciones del informe de evaluación.</t>
  </si>
  <si>
    <t>Respuesta  a  observaciones</t>
  </si>
  <si>
    <t>Resolución  declaratoria  desierta</t>
  </si>
  <si>
    <t>Aceptación de la Oferta y Firma del Contrato</t>
  </si>
  <si>
    <t>CONSIDERANDO</t>
  </si>
  <si>
    <t>RESUELVE</t>
  </si>
  <si>
    <t>ACTA DE RECEPCIÓN DE PROPUESTAS</t>
  </si>
  <si>
    <t>No</t>
  </si>
  <si>
    <t>Fecha y Hora</t>
  </si>
  <si>
    <t>Firma del Proponente</t>
  </si>
  <si>
    <t>ACTA DE CIERRE DE RECEPCIÓN DE PROPUESTAS</t>
  </si>
  <si>
    <t>Oferente</t>
  </si>
  <si>
    <t>OFERTA ECONÓMICA</t>
  </si>
  <si>
    <t>NOMBRE OFERENTE</t>
  </si>
  <si>
    <t>Folios</t>
  </si>
  <si>
    <t xml:space="preserve">Fecha de Evaluación: </t>
  </si>
  <si>
    <t>Objeto:</t>
  </si>
  <si>
    <t>OFERENTES</t>
  </si>
  <si>
    <t>Oferta Económica</t>
  </si>
  <si>
    <t>PRESENTACIÓN DE LA PROPUESTA ECONÓMICA</t>
  </si>
  <si>
    <t>%</t>
  </si>
  <si>
    <t>Calidad (Ver aviso de invitación)</t>
  </si>
  <si>
    <t>Cordialmente,</t>
  </si>
  <si>
    <t>Estudios Previos</t>
  </si>
  <si>
    <t>Definición de  la  ubicación  física  en  dónde  se  prestará  el  servicio o se recibirá el bien.</t>
  </si>
  <si>
    <t>Invitación Pública</t>
  </si>
  <si>
    <t>Invitación pública en cartelera.</t>
  </si>
  <si>
    <t>Requisitos  habilitantes y metodología a seguir.</t>
  </si>
  <si>
    <t>Resolución Rectoral Apertura.</t>
  </si>
  <si>
    <t>Acta de Cierre y Apertura de sobres.</t>
  </si>
  <si>
    <t>Cierre de invitación, Acta de Cierre y Apertura de sobres.</t>
  </si>
  <si>
    <t>Evaluación y Publicación  del informe de evaluación.</t>
  </si>
  <si>
    <t>Subsanar Documentos</t>
  </si>
  <si>
    <t>Documentación</t>
  </si>
  <si>
    <t>Resolución Rectoral e Invitación Pública</t>
  </si>
  <si>
    <t>Acta de Recepción</t>
  </si>
  <si>
    <t>Acta de Cierre</t>
  </si>
  <si>
    <t>Evaluación de Oferentes</t>
  </si>
  <si>
    <t>Contrato</t>
  </si>
  <si>
    <t>OBJETO COMPRA O SERVICIO:</t>
  </si>
  <si>
    <t>RETENCIÓN</t>
  </si>
  <si>
    <t>CERTIFICADO DISPONIBILIDAD</t>
  </si>
  <si>
    <t>Evaluación de cada oferente y Publicación  informe de evaluación.</t>
  </si>
  <si>
    <t>Adjudicación  o  Declaratoria  Desierta.</t>
  </si>
  <si>
    <t>Suscripción del  Contrato</t>
  </si>
  <si>
    <t xml:space="preserve">Resolución  de  adjudicación y Notificación </t>
  </si>
  <si>
    <t>VALOR EST PREV EN LETRAS</t>
  </si>
  <si>
    <t>COMUNÍQUESE Y CÚMPLASE.</t>
  </si>
  <si>
    <r>
      <t xml:space="preserve">Resolución de Adjudicación o de Declaración Desierta. </t>
    </r>
    <r>
      <rPr>
        <sz val="10"/>
        <color indexed="10"/>
        <rFont val="Calibri"/>
        <family val="2"/>
      </rPr>
      <t xml:space="preserve">Compromiso de Tesorería. </t>
    </r>
  </si>
  <si>
    <t>CANTIDADES</t>
  </si>
  <si>
    <t>ACTIVIDAD</t>
  </si>
  <si>
    <t xml:space="preserve">Invitación Pública </t>
  </si>
  <si>
    <t>LUGAR/HORA</t>
  </si>
  <si>
    <t>FECHA</t>
  </si>
  <si>
    <t>Requerimiento  a  proponentes  para  subsanar inconsistencias (1 día)</t>
  </si>
  <si>
    <t xml:space="preserve">Respuesta a observaciones </t>
  </si>
  <si>
    <t>Resolución de Adjudicación o Declaración Desierta</t>
  </si>
  <si>
    <t>El contratante</t>
  </si>
  <si>
    <t>El contratista</t>
  </si>
  <si>
    <t xml:space="preserve">Entre los suscritos </t>
  </si>
  <si>
    <t>FECHA RECIBO A SATISFACCIÓN</t>
  </si>
  <si>
    <t>CONTRATO</t>
  </si>
  <si>
    <t>CONTRATANTE</t>
  </si>
  <si>
    <t>CONTRATISTA</t>
  </si>
  <si>
    <t>OBJETO</t>
  </si>
  <si>
    <t>FECHA INICIO</t>
  </si>
  <si>
    <t>FECHA TERMINACIÓN</t>
  </si>
  <si>
    <t>DIRECCIÓN CONTRATISTA</t>
  </si>
  <si>
    <t>TELÉFONO</t>
  </si>
  <si>
    <t>EMAIL</t>
  </si>
  <si>
    <t>CONSIDERACIONES</t>
  </si>
  <si>
    <r>
      <rPr>
        <b/>
        <sz val="11"/>
        <color indexed="8"/>
        <rFont val="Calibri"/>
        <family val="2"/>
      </rPr>
      <t>SEGUNDO:</t>
    </r>
    <r>
      <rPr>
        <sz val="11"/>
        <color theme="1"/>
        <rFont val="Calibri"/>
        <family val="2"/>
        <scheme val="minor"/>
      </rPr>
      <t xml:space="preserve"> Que el contratista ha dado cumplimiento a lo descrito en el contrato. Por lo anterior</t>
    </r>
  </si>
  <si>
    <t>ACUERDAN</t>
  </si>
  <si>
    <t>C38</t>
  </si>
  <si>
    <t>PLAZO ENTREGA CONTRATISTA (días)</t>
  </si>
  <si>
    <t>OFERENTE</t>
  </si>
  <si>
    <t>ACTA EVALUACIÓN DE OFERENTES</t>
  </si>
  <si>
    <t xml:space="preserve">CONTRATANTE:                 </t>
  </si>
  <si>
    <t xml:space="preserve">CONTRATISTA:    </t>
  </si>
  <si>
    <t xml:space="preserve">OBJETO DEL CONTRATO: </t>
  </si>
  <si>
    <t xml:space="preserve">VALOR DEL CONTRATO:
</t>
  </si>
  <si>
    <t xml:space="preserve">FECHA DE INICIO: </t>
  </si>
  <si>
    <t>FECHA DE TERMINACIÓN:</t>
  </si>
  <si>
    <t>FECHA LIQUIDACIÓN CONTRATO</t>
  </si>
  <si>
    <t xml:space="preserve">Municipio </t>
  </si>
  <si>
    <t>3. Que  en cumplimiento de lo estipulado en las normas antes referidas, se publicó en la cartelera institucional los documentos que respaldan la presente  convocatoria pública.</t>
  </si>
  <si>
    <t>0</t>
  </si>
  <si>
    <t>COMPRABANTE DE EGRESO</t>
  </si>
  <si>
    <t>NA</t>
  </si>
  <si>
    <t>CONSECUTIVO</t>
  </si>
  <si>
    <t>CONSECUTIVO DEL SISTEMA</t>
  </si>
  <si>
    <t>COMPROMISO PRESUPUESTAL</t>
  </si>
  <si>
    <t>DISPONIBILIDAD PRESUPUESTAL</t>
  </si>
  <si>
    <t>EL VALOR DE LA DISPONIBILIDAD</t>
  </si>
  <si>
    <t>COMPROBANTE DE EGRESO</t>
  </si>
  <si>
    <r>
      <rPr>
        <sz val="11"/>
        <color indexed="8"/>
        <rFont val="Calibri"/>
        <family val="2"/>
      </rPr>
      <t>MODALIDAD  DE  CONTRATACIÓN:</t>
    </r>
    <r>
      <rPr>
        <b/>
        <sz val="11"/>
        <color indexed="8"/>
        <rFont val="Calibri"/>
        <family val="2"/>
      </rPr>
      <t xml:space="preserve"> </t>
    </r>
    <r>
      <rPr>
        <sz val="11"/>
        <color theme="1"/>
        <rFont val="Calibri"/>
        <family val="2"/>
        <scheme val="minor"/>
      </rPr>
      <t>Se trata de un proceso de contratación realizado de conformidad con la reglamentación expedida por el Consejo Directivo mediante Acuerdo.</t>
    </r>
  </si>
  <si>
    <r>
      <rPr>
        <sz val="11"/>
        <color indexed="8"/>
        <rFont val="Calibri"/>
        <family val="2"/>
      </rPr>
      <t>DECLARATORIA DESIERTA</t>
    </r>
    <r>
      <rPr>
        <b/>
        <sz val="11"/>
        <color indexed="8"/>
        <rFont val="Calibri"/>
        <family val="2"/>
      </rPr>
      <t>:</t>
    </r>
    <r>
      <rPr>
        <sz val="11"/>
        <color theme="1"/>
        <rFont val="Calibri"/>
        <family val="2"/>
        <scheme val="minor"/>
      </rPr>
      <t xml:space="preserve"> En caso de no presentarse propuestas o que ninguna de las presentadas resulte habilitada durante el proceso, el mismo se declarará desierto mediante resolución rectoral y se iniciará un nuevo proceso.</t>
    </r>
  </si>
  <si>
    <r>
      <rPr>
        <sz val="11"/>
        <color indexed="8"/>
        <rFont val="Calibri"/>
        <family val="2"/>
      </rPr>
      <t xml:space="preserve">CRONOGRAMA: </t>
    </r>
    <r>
      <rPr>
        <sz val="11"/>
        <color theme="1"/>
        <rFont val="Calibri"/>
        <family val="2"/>
        <scheme val="minor"/>
      </rPr>
      <t>El cronograma que regirá el proceso es el siguiente.</t>
    </r>
  </si>
  <si>
    <t>CC</t>
  </si>
  <si>
    <t>Valor Retenido</t>
  </si>
  <si>
    <t>Valor Pagado</t>
  </si>
  <si>
    <t>Valor Ejecutado</t>
  </si>
  <si>
    <t>DESDE LA FECHA DE LA FACTURA HASTA LA FECHA DEL COMPROBANTE DE EGRESO</t>
  </si>
  <si>
    <t>DATOS</t>
  </si>
  <si>
    <t>EL VALOR DE LA DISPONIBILIDAD EN LETRAS</t>
  </si>
  <si>
    <t>Elaboración de Contrato</t>
  </si>
  <si>
    <t>MEDELLÍN</t>
  </si>
  <si>
    <t xml:space="preserve">ESTUDIOS PREVIOS No. EP. </t>
  </si>
  <si>
    <t xml:space="preserve">INVITACIÓN PÚBLICA No. IP. </t>
  </si>
  <si>
    <t xml:space="preserve">CONTRATO No. C. </t>
  </si>
  <si>
    <t xml:space="preserve">RESOLUCIÓN DE APERTURA No. RAP.  </t>
  </si>
  <si>
    <t>Recepción de Propuestas</t>
  </si>
  <si>
    <t>Cierre de Invitación, Acta de Cierre y apertura de sobres.</t>
  </si>
  <si>
    <t>Evaluación de Oferentes y publicación  del Informe de Evaluación.</t>
  </si>
  <si>
    <r>
      <rPr>
        <b/>
        <sz val="12"/>
        <color theme="1"/>
        <rFont val="Arial"/>
        <family val="2"/>
      </rPr>
      <t>NOTA IMPORTANTE:</t>
    </r>
    <r>
      <rPr>
        <sz val="12"/>
        <color theme="1"/>
        <rFont val="Arial"/>
        <family val="2"/>
      </rPr>
      <t xml:space="preserve"> Señor Proponente, por favor permanezca atento al cronograma para hacer cualquier observación.</t>
    </r>
  </si>
  <si>
    <t xml:space="preserve">RESOLUCIÓN DE  ADJUDICACIÓN No. RAC.  </t>
  </si>
  <si>
    <t xml:space="preserve">1. Que el Artículo 2.3.1.6.3.6 Numeral 4, del Decreto 1075 del 2015,  establece que será competencia de la Rectoría: “Celebrar los contratos, suscribir los actos administrativos y ordenar los gastos con cargo a los recursos del Fondo de Servicios Educativos, de acuerdo con el flujo de caja y el plan operativo de la respectiva vigencia fiscal, previa disponibilidad presupuestal y de tesorería."
</t>
  </si>
  <si>
    <t>1. A suministrar  los bienes y/o servicios  que se especifican a continuación, conforme a  la oferta económica presentada por el contratista, la cual  se anexa al presente contrato.------------------------------------</t>
  </si>
  <si>
    <r>
      <t>CUARTA. SUSPENCIÓN Y LIQUIDACIÓN:</t>
    </r>
    <r>
      <rPr>
        <b/>
        <sz val="10"/>
        <color indexed="8"/>
        <rFont val="Calibri"/>
        <family val="2"/>
      </rPr>
      <t xml:space="preserve"> </t>
    </r>
    <r>
      <rPr>
        <sz val="10"/>
        <color indexed="8"/>
        <rFont val="Calibri"/>
        <family val="2"/>
      </rPr>
      <t xml:space="preserve">El presente contrato podrá suspenderse o liquidarse dentro del término de  ejecución,  por circunstancias de fuerza mayor o caso fortuito, cesando las obligaciones reciprocas entre las partes.--------------------------
</t>
    </r>
    <r>
      <rPr>
        <b/>
        <sz val="11"/>
        <color indexed="8"/>
        <rFont val="Calibri"/>
        <family val="2"/>
      </rPr>
      <t/>
    </r>
  </si>
  <si>
    <t>SÉPTIMA. FONDOS Y APROPIACIONES PRESUPUESTALES: El CONTRATANTE atenderá los pagos del presente contrato, con recursos del  Fondo de Servicios Educativos de la Institución y que están dentro de su presupuesto.-----------------------------------------------</t>
  </si>
  <si>
    <r>
      <t>OCTAVA. APLICACIÓN DE LA LEY GENERAL DE CONTRATACIÓN:</t>
    </r>
    <r>
      <rPr>
        <b/>
        <sz val="10"/>
        <color indexed="8"/>
        <rFont val="Calibri"/>
        <family val="2"/>
      </rPr>
      <t xml:space="preserve"> </t>
    </r>
    <r>
      <rPr>
        <sz val="10"/>
        <color indexed="8"/>
        <rFont val="Calibri"/>
        <family val="2"/>
      </rPr>
      <t xml:space="preserve">En materia de caducidad, declaratoria de incumplimiento, terminación, modificación e interpretación unilaterales, inhabilidades e incompatibilidades, cesión del contrato, se dará cumplimiento a la Ley 80 de 1993 y sus Decretos reglamentarios.---------------------------------------------------------------------------------
</t>
    </r>
    <r>
      <rPr>
        <b/>
        <sz val="10"/>
        <color indexed="8"/>
        <rFont val="Calibri"/>
        <family val="2"/>
      </rPr>
      <t/>
    </r>
  </si>
  <si>
    <t>RECIBO A SATISFACCIÓN</t>
  </si>
  <si>
    <t>ACTA DE LIQUIDACIÓN</t>
  </si>
  <si>
    <t>VIGENCIA (INICIO Y TEMINACIÓN)</t>
  </si>
  <si>
    <t>Acuerdo del Consejo</t>
  </si>
  <si>
    <t>Nombre I.E.</t>
  </si>
  <si>
    <t>Rector (a)</t>
  </si>
  <si>
    <t>Dirección</t>
  </si>
  <si>
    <t>Teléfono</t>
  </si>
  <si>
    <t>mismo día de la disponibilidad</t>
  </si>
  <si>
    <t>un día después de los estudios previos</t>
  </si>
  <si>
    <t>el mismo día de cierre de invitaciones</t>
  </si>
  <si>
    <t>1 un día después de evaluación y publicación</t>
  </si>
  <si>
    <t>1 un día después de recepción de observaciones</t>
  </si>
  <si>
    <t>1 después de respuesta a observaciones</t>
  </si>
  <si>
    <t>después de adjudicación PERO no puede ser inferior al compromiso</t>
  </si>
  <si>
    <t>DURACIÓN DEL CONTRATO (DÍAS ENTRE COMPROMISO Y EGRESO)</t>
  </si>
  <si>
    <t>DURACIÓN DE ENTREGA</t>
  </si>
  <si>
    <t>VALOR DE LA COTIZACIÓN</t>
  </si>
  <si>
    <r>
      <rPr>
        <sz val="11"/>
        <color indexed="8"/>
        <rFont val="Calibri"/>
        <family val="2"/>
      </rPr>
      <t>ESPECIFICACIONES TÉCNICAS</t>
    </r>
    <r>
      <rPr>
        <b/>
        <sz val="11"/>
        <color indexed="8"/>
        <rFont val="Calibri"/>
        <family val="2"/>
      </rPr>
      <t>:</t>
    </r>
    <r>
      <rPr>
        <sz val="11"/>
        <color theme="1"/>
        <rFont val="Calibri"/>
        <family val="2"/>
        <scheme val="minor"/>
      </rPr>
      <t xml:space="preserve"> A continuación se detalla la cantidad y el tipo de artículo o servicio requerido por la Institución.</t>
    </r>
  </si>
  <si>
    <t>Fecha de Fijación</t>
  </si>
  <si>
    <t>Oferta económica de los bienes y/o servicios según las especificaciones técnicas exigidas por la Institución.</t>
  </si>
  <si>
    <t>NOVENA. INHABILIDADES E INCOMPATIBILIDADES: El CONTRATISTA declara bajo la gravedad de juramento, que se entiende prestado con la firma del presente instrumento,  que no se encuentra incurso en ninguna de las  causales de inhabilidad e incompatibilidad contempladas en la constitución y la ley.---------------------------------------------------------</t>
  </si>
  <si>
    <t>agregar (pesos M/L)</t>
  </si>
  <si>
    <t>Establecer la necesidad teniendo encuentra el presupuesto.</t>
  </si>
  <si>
    <t>hasta 2 días después de la invitación publica</t>
  </si>
  <si>
    <t>1 día después del cierre de invitación</t>
  </si>
  <si>
    <t>C39</t>
  </si>
  <si>
    <t>METODOLOGÍA DE ESTUDIO DE MERCADO</t>
  </si>
  <si>
    <t>EXLPLICAR CÓMO SE REALIZÓ EL ESTUDIO DE MERCADO</t>
  </si>
  <si>
    <t>DESCRIPCIÓN DE LA NECESIDAD:</t>
  </si>
  <si>
    <t>¿Qué?</t>
  </si>
  <si>
    <t>¿Para qué?</t>
  </si>
  <si>
    <t>¿Cómo?</t>
  </si>
  <si>
    <t>¿Cuándo?</t>
  </si>
  <si>
    <t>¿Beneficiados?</t>
  </si>
  <si>
    <t>Objeto comprado y/o Servicio Prestado</t>
  </si>
  <si>
    <t>Motivo para realizar la compra y/o contratar el servicio</t>
  </si>
  <si>
    <t>Cómo se entrega el objeto o  se desarrolla el servicio</t>
  </si>
  <si>
    <t>En qué tiempo se entrega el objeto o desarrolla el servicio y cuánto dura</t>
  </si>
  <si>
    <t>Quién sale beneficiado con la compra de este objeto o el desarrollo del servicio</t>
  </si>
  <si>
    <t>Solo se tendrán en cuenta las propuestas que cumplan con  los requisitos legales y las especificaciones técnicas que en ellos se describen.</t>
  </si>
  <si>
    <t>A continuación, se relaciona la información de las cotizaciones realizadas por la Institución Educativa.</t>
  </si>
  <si>
    <t>PROVEEDOR</t>
  </si>
  <si>
    <t>INFORMACIÓN DE LA PROPUESTA ECONÓMICA</t>
  </si>
  <si>
    <t>INFORMACIÓN DE LA COTIZACIÓN</t>
  </si>
  <si>
    <r>
      <rPr>
        <sz val="11"/>
        <color indexed="8"/>
        <rFont val="Calibri"/>
        <family val="2"/>
      </rPr>
      <t>ESPECIFICACIONES TÉCNICAS</t>
    </r>
    <r>
      <rPr>
        <sz val="11"/>
        <color theme="1"/>
        <rFont val="Calibri"/>
        <family val="2"/>
        <scheme val="minor"/>
      </rPr>
      <t>: A continuación se detalla la cantidad y el tipo de artículo y/o servicio requerido por la Institución.</t>
    </r>
  </si>
  <si>
    <r>
      <rPr>
        <sz val="11"/>
        <color indexed="8"/>
        <rFont val="Calibri"/>
        <family val="2"/>
      </rPr>
      <t>RECHAZO Y ELIMINACIÓN DE PROPUESTAS:</t>
    </r>
    <r>
      <rPr>
        <sz val="11"/>
        <color theme="1"/>
        <rFont val="Calibri"/>
        <family val="2"/>
        <scheme val="minor"/>
      </rPr>
      <t xml:space="preserve"> Serán eliminadas las propuestas, sin que haya lugar a su evaluación, en los siguientes casos:
• Cuando el proponente no acredite los requisitos de participación establecidos.
• Cuando no se cumpla con alguna de las Especificaciones Técnicas.
• Cuando no se presenten los documentos subsanables requeridos por parte de la Institución, dentro del plazo otorgado para el efecto.
• Cuando el objeto social o actividad mercantil del proponente no corresponda a lo requerido por la Institución, exigencia que aplica a cada uno de los integrantes de Consorcios, Uniones Temporales u otra forma de asociación.
• Si luego de evaluadas las propuestas, se encuentra contradicción entre los documentos aportados en la propuesta o entre esta y lo confrontado con la realidad.
La Institución se reserva el derecho de admitir aquellas propuestas que presenten defectos de forma, omisiones o errores, siempre que estos sean subsanables y no alteren el tratamiento igualitario de las mismas.</t>
    </r>
  </si>
  <si>
    <t>70%</t>
  </si>
  <si>
    <t>30%</t>
  </si>
  <si>
    <t>Verificado por la I.E.</t>
  </si>
  <si>
    <t>Fotocopia de la cédula del contratista o representante legal.</t>
  </si>
  <si>
    <t>Certificado de antecedentes de la procuraduría no mayor a 3 meses.</t>
  </si>
  <si>
    <t>Certificado de antecedentes de la contraloría no mayor a 3 meses.</t>
  </si>
  <si>
    <t xml:space="preserve">Certificado de antecedentes judiciales (Policía) no mayor a  3 meses. </t>
  </si>
  <si>
    <t>Certificado de medidas correctivas (RNMC).</t>
  </si>
  <si>
    <t>Certificado de paz y salvo en aportes al Sistema de Seguridad Social (para contratos de bienes y/o servicios) del proponente y sus empleados o copia del pago de SEGURIDAD SOCIAL.</t>
  </si>
  <si>
    <t>Certificado de alturas (cuando sea requerido).</t>
  </si>
  <si>
    <t>Calificación económica (menor precio)</t>
  </si>
  <si>
    <t>Observación</t>
  </si>
  <si>
    <t>SEGUNDA. FORMA DE PAGO:  La institución cancelará el valor del contrato conforme a los bienes solicitados, hasta dentro de los ocho (8) días hábiles posterior al recibo a satisfacción, mediante cheque girado directamente al contratista, con sello de cruzado y de pago al primer beneficiario o mediante transacción bancaria al contratista, con estricto cumplimiento al certificado de disponibilidad presupuestal expedido por la tesorería.--------------</t>
  </si>
  <si>
    <t>REQUISITOS HABILITANTES PARA TRANSPORTE</t>
  </si>
  <si>
    <t>C40</t>
  </si>
  <si>
    <t>TRANSPORTE</t>
  </si>
  <si>
    <t>Fotocopia de la licencia de tránsito del vehículo, expedida por el Ministerio de Transporte o el organismo que haga sus veces.</t>
  </si>
  <si>
    <t>Fotocopia de la cédula del conductor.</t>
  </si>
  <si>
    <t>Fotocopia de la licencia de conducción del coductor.</t>
  </si>
  <si>
    <t>Fotocopia de la constancia de revisión técnico mecánica del vehículo, expedida por un centro de diagnóstico autorizado y que se encuentre vigente.</t>
  </si>
  <si>
    <t>Fotocopia del seguro obligatorio de accidentes de tránsito (SOAT).</t>
  </si>
  <si>
    <t>Fotocopia de las pólizas de responsabilidad civil contractual y extracontractual vigentes.</t>
  </si>
  <si>
    <t>Registro del Ministerio de Transporte que presta servicio especial de pasajeros (Decreto 1079 de 2015).</t>
  </si>
  <si>
    <t>Además para transporte:
• Fotocopia de la licencia de tránsito del vehículo, expedida por el Ministerio de Transporte o el organismo que haga sus veces.
• Fotocopia de la cédula del conductor.
• Fotocopia de la licencia de conducción del coductor.
• Fotocopia de la constancia de revisión técnico mecánica del vehículo, expedida por un centro de diagnóstico autorizado y que se encuentre vigente.
• Fotocopia del seguro obligatorio de accidentes de tránsito (SOAT).
• Fotocopia de las pólizas de responsabilidad civil contractual y extracontractual vigentes.                                                       
• Registro del Ministerio de Transporte que presta servicio especial de pasajeros (Decreto 1079 de 2015).</t>
  </si>
  <si>
    <t>Además para transporte:
• Fotocopia de la licencia de tránsito del vehículo, expedida por el Ministerio de Transporte o el organismo que haga sus veces.
• Fotocopia de la cédula del conductor.
• Fotocopia de la licencia de conducción del coductor.
• Fotocopia de la constancia de revisión técnico mecánica del vehículo, expedida por un centro de diagnóstico autorizado y que se encuentre vigente.
• Fotocopia del seguro obligatorio de accidentes de tránsito (SOAT).
• Fotocopia de las pólizas de responsabilidad civil contractual y extracontractual vigentes.                                                     
• Registro del Ministerio de Transporte que presta servicio especial de pasajeros (Decreto 1079 de 2015).</t>
  </si>
  <si>
    <t>C41</t>
  </si>
  <si>
    <t>ALTURAS</t>
  </si>
  <si>
    <t>C42</t>
  </si>
  <si>
    <t>CÁMARA DE COMERCIO</t>
  </si>
  <si>
    <t>VALOR UNITARIO</t>
  </si>
  <si>
    <t>VALOR TOTAL</t>
  </si>
  <si>
    <t>Certificado  de Existencia y Representación Legal  o Registro Mercantil (Cámara de Comercio) no mayor a 3 meses (Si el proponente cuenta con este certificado lo puede anexar, de lo contrario si no lo aporta no es causal de rechazo y puede seguir en el proceso).</t>
  </si>
  <si>
    <t>Cámara de Comercio no mayor a 3 meses (Si el proponente cuenta con este certificado lo puede anexar, de lo contrario si no lo aporta no es causal de rechazo y puede seguir en el proceso)</t>
  </si>
  <si>
    <t>Recepción de propuestas, en rectoría o secretaría de 10:00 a. m. a 2:00 p. m., en sobre cerrado.</t>
  </si>
  <si>
    <t>SUPERVISIÓN DEL CONTRATO: Durante la ejecución del contrato, la supervisión del mismo estará a cargo de la rectoría.</t>
  </si>
  <si>
    <r>
      <rPr>
        <sz val="11"/>
        <color indexed="8"/>
        <rFont val="Calibri"/>
        <family val="2"/>
      </rPr>
      <t>ARTÍCULO SEGUNDO.</t>
    </r>
    <r>
      <rPr>
        <sz val="11"/>
        <color theme="1"/>
        <rFont val="Calibri"/>
        <family val="2"/>
        <scheme val="minor"/>
      </rPr>
      <t xml:space="preserve">  En los estudios previos se ha  definido la necesidad, el objeto a contratar, las especificaciones técnicas, el presupuesto asignado, los fundamentos jurídicos de los factores de selección, los criterios de selección y el análisis, la supervisión del contrato y la cobertura de riesgos.
</t>
    </r>
    <r>
      <rPr>
        <sz val="11"/>
        <color indexed="8"/>
        <rFont val="Calibri"/>
        <family val="2"/>
      </rPr>
      <t>ARTÍCULO TERCERO.</t>
    </r>
    <r>
      <rPr>
        <sz val="11"/>
        <color theme="1"/>
        <rFont val="Calibri"/>
        <family val="2"/>
        <scheme val="minor"/>
      </rPr>
      <t xml:space="preserve"> Se convoca a las veedurías ciudadanas a que participen en el desarrollo del proceso de  selección, en la ejecución y liquidación del contrato.
</t>
    </r>
  </si>
  <si>
    <t>Solicitará al CONTRATISTA la información y los documentos que considere necesarios en relación con el desarrollo del mismo.------</t>
  </si>
  <si>
    <t>COMPRA</t>
  </si>
  <si>
    <t>C43</t>
  </si>
  <si>
    <t>C44</t>
  </si>
  <si>
    <t>C45</t>
  </si>
  <si>
    <t>C46</t>
  </si>
  <si>
    <t>SERVICIO DE TRANSPORTE</t>
  </si>
  <si>
    <t>HONORARIOS</t>
  </si>
  <si>
    <t>C47</t>
  </si>
  <si>
    <t>SOFTWARE ACADÉMICO</t>
  </si>
  <si>
    <t>CONTRATO DE OBRA</t>
  </si>
  <si>
    <t>BASE EN PESOS</t>
  </si>
  <si>
    <t>% DE RETENCIÓN DECLARANTES</t>
  </si>
  <si>
    <t>% RETENCIÓN NO DECLARANTES</t>
  </si>
  <si>
    <t>CONTRIBUCIÓN ESPECIAL</t>
  </si>
  <si>
    <t>COMPRAS: Común y Simplificado</t>
  </si>
  <si>
    <t xml:space="preserve">SERVICIOS: Común y Simplificado </t>
  </si>
  <si>
    <t>TRANSPORTE; SOFTWARE y HONORARIOS</t>
  </si>
  <si>
    <t>CONTRIBUCIÓN ESPECIAL y CONTRATO DE OBRA</t>
  </si>
  <si>
    <t>Hoja de vida pública</t>
  </si>
  <si>
    <t>INSTITUCIÓN EDUCATIVA JOAQUIN VALLEJO ARBELAEZ</t>
  </si>
  <si>
    <t>CARLOS MARIO GIRALDO JIMENEZ
Rector</t>
  </si>
  <si>
    <t>CARLOS MARIO GIRALDO JIMENEZ</t>
  </si>
  <si>
    <t>71.661.819</t>
  </si>
  <si>
    <t>CARRERA 19 N° 59 C 175</t>
  </si>
  <si>
    <t>292 61 99</t>
  </si>
  <si>
    <t>Acuerdo N° 05 del 22 de Abril de 2020</t>
  </si>
  <si>
    <r>
      <rPr>
        <sz val="11"/>
        <color indexed="8"/>
        <rFont val="Calibri"/>
        <family val="2"/>
      </rPr>
      <t xml:space="preserve">RECHAZO Y ELIMINACIÓN DE PROPUESTAS: serán eliminadas las propuestas, sin que haya lugar a su evaluación, en los siguientes casos:
• Cuando el proponente no acredite los requisitos de participación establecidos.
• Cuando no se cumpla con alguna de las Especificaciones Técnicas.
• Cuando no se presenten los documentos subsanables requeridos por parte de la Institución, dentro del plazo otorgado para el efecto.
• Cuando el objeto social o actividad mercantil del proponente no corresponda a lo requerido por la Institución, exigencia que aplica a cada uno de los integrantes de Consorcios, Uniones Temporales u otra forma de asociación.
• Si luego de evaluadas las propuestas, se encuentra contradicción entre los documentos aportados en la propuesta o entre esta y lo confrontado con la realidad.
• Cuando los valores en la cotización sean diferentes y modifique el valor total.
La institución Educativa se reserva el derecho de admitir aquellas propuestas que presenten defectos de forma, omisiones o errores, siempre que estos sean subsanables y no alteren el tratamiento igualitario de las mismas. 
</t>
    </r>
    <r>
      <rPr>
        <sz val="11"/>
        <color theme="1"/>
        <rFont val="Calibri"/>
        <family val="2"/>
        <scheme val="minor"/>
      </rPr>
      <t xml:space="preserve">
</t>
    </r>
  </si>
  <si>
    <t xml:space="preserve">REQUISITOS  HABILITANTES:   Los proponentes deben anexar copia de los siguientes documentos.
• Certificado  de Existencia y Representación Legal  o Registro Mercantil (Cámara de Comercio) no mayor a 3 meses (Si el proponente cuenta con este certificado lo puede anexar, de lo contrario si no lo aporta no es causal de rechazo y puede seguir en el proceso).
• Registro Único Tributario (RUT) actualizado
• Fotocopia de la cédula del contratista o representante legal.
• Certificado de antecedentes de la procuraduría no mayor a 3 meses.
• Certificado de antecedentes de la contraloría no mayor a 3 meses.
• Certificado de antecedentes judiciales (Policía) no mayor a  3 meses. 
• Certificado de medidas correctivas (RNMC).
• Si es empresa certificación del representante legal o contador informando que la empresa se encuentra a paz y salvo por los conceptos de seguridad social
• Certificado de paz y salvo en aportes al Sistema de Seguridad Social (para contratos de bienes y/o servicios) del proponente y sus empleados o copia de la planilla de pago de la SEGURIDAD SOCIAL.
• Propuesta o cotización con los datos del proponente y/o papel membrete de la empresa. 
• Certificado de alturas (cuando sea requerido).
• Hoja de vida Pública
• Las contrataciones de obra pública contratadas con personas jurídicas no pueden facturar IVA, y la retención que se le practicará es el 2% de contrato de obra pública.
</t>
  </si>
  <si>
    <t xml:space="preserve">CRITERIOS DE EVALUACIÓN Y ESCOGENCIA DE LA PROPUESTA: La escogencia de la propuesta será aquella que cumpla los requisitos exigidos por la Institución Educativa de acuerdo al Decreto 1082 de mayo 26 de 2015 y al Decreto 1075 del 26 de mayo de 2015; esta adjudicación se otorgará a la entidad o persona natural que cotizó con un menor valor. En caso de empate a menor precio, la Institución adjudicará a quien haya enviado primero la propuesta al correo electrónico mariogiraldo2011@gmail.com, según el orden de llegada de los correos electrónicos de las mismas. </t>
  </si>
  <si>
    <t>ESTUDIO DE MERCADO: Este apartado del proceso se vivencia antes de la realización de la disponibilidad presupuestal, previa solicitud de cotizaciones  vía correo electrónico, telefónicamente, histórico de compras o en rastreo por la red. Su producto es utilizado para definir el valor promedio del costo total del contrato y de esta manera darle un valor a la disponibilidad.</t>
  </si>
  <si>
    <t xml:space="preserve">4. Que en cumplimiento del reglamento aprobado por el Consejo Directivo, se publicará en la pagina web de la institucion por el término no inferior a 2 dias la invitación pública, con el fin de suministrar al público la información concerniente al proceso de contratación.
5. Que por lo anteriormente expuesto, la Rectoría de la Institución Educativa
</t>
  </si>
  <si>
    <r>
      <rPr>
        <sz val="11"/>
        <color indexed="8"/>
        <rFont val="Calibri"/>
        <family val="2"/>
      </rPr>
      <t>PRESENTACIÓN  DE  LAS  PROPUESTAS:</t>
    </r>
    <r>
      <rPr>
        <sz val="11"/>
        <color theme="1"/>
        <rFont val="Calibri"/>
        <family val="2"/>
        <scheme val="minor"/>
      </rPr>
      <t xml:space="preserve"> Las  propuestas  Deben ser entregadas via correo electronico a la siguiente direccion: mariogiraldo2011@gmail.com en los terminos fijados para tal fin así:
• Propuesta economica  de los bienes y/o servicios, según  las  especificaciones técnicas  exigidas  por  la  Institución Educativa.
</t>
    </r>
  </si>
  <si>
    <r>
      <rPr>
        <sz val="11"/>
        <color indexed="8"/>
        <rFont val="Calibri"/>
        <family val="2"/>
      </rPr>
      <t>EVALUACIÓN DE LAS PROPUESTAS Y ADJUDICACIÓN DEL CONTRATO:</t>
    </r>
    <r>
      <rPr>
        <b/>
        <sz val="11"/>
        <color indexed="8"/>
        <rFont val="Calibri"/>
        <family val="2"/>
      </rPr>
      <t xml:space="preserve"> </t>
    </r>
    <r>
      <rPr>
        <sz val="11"/>
        <color theme="1"/>
        <rFont val="Calibri"/>
        <family val="2"/>
        <scheme val="minor"/>
      </rPr>
      <t>La evaluación de las propuestas se llevará a cabo por el Rector de la Institución según parámetros establecidos por la invitacion, una vez termine el plazo de entrega de propuestas.</t>
    </r>
  </si>
  <si>
    <t>EVALUACIÓN DE LAS PROPUESTAS Y ADJUDICACIÓN DEL CONTRATO: La evaluación de las propuestas se llevará a cabo por el Rector de la Institución según parámetros establecidos por la invitacion, una vez termine el plazo de entrega de propuestas.</t>
  </si>
  <si>
    <t xml:space="preserve">METODOLOGÍA: Luego de recibidas las propuestasal correo electronico mariogiraldo2011@gmail.com  y realizado el acta de cierre, se verificará el cumplimiento por parte de los proponentes de los requisitos habilitantes. En caso de que los proponentes no reúnan todos los requisitos se les dará un día hábil para subsanar, procediendo nuevamente a la verificación. Posteriormente se evalúa cada proponente.
Si se presenta un solo proponente se le adjudicará a este, siempre y cuandoesta cumpla con los requisitos habilitantes exigidos, siempre que la oferta satisfaga los requerimientos contenidos en la invitacion publica. </t>
  </si>
  <si>
    <r>
      <rPr>
        <sz val="11"/>
        <color theme="1"/>
        <rFont val="Calibri"/>
        <family val="2"/>
        <scheme val="minor"/>
      </rPr>
      <t>METODOLOGÍA:</t>
    </r>
    <r>
      <rPr>
        <b/>
        <sz val="11"/>
        <color indexed="8"/>
        <rFont val="Calibri"/>
        <family val="2"/>
      </rPr>
      <t xml:space="preserve"> </t>
    </r>
    <r>
      <rPr>
        <sz val="11"/>
        <color theme="1"/>
        <rFont val="Calibri"/>
        <family val="2"/>
        <scheme val="minor"/>
      </rPr>
      <t xml:space="preserve">Luego de recibidas las propuestas al correo electronico mariogiraldo2011@gmail.com  y realizado el acta de cierre, se verificará el cumplimiento por parte de los proponentes de los requisitos habilitantes. En caso de que los proponentes no reúnan todos los requisitos se les dará un día hábil para subsanar, procediendo nuevamente a la verificación. Posteriormente se evalúa cada proponente.
Si se presenta un solo proponente se le adjudicará a este, siempre y cuandoesta cumpla con los requisitos habilitantes exigidos, siempre que la oferta satisfaga los requerimientos contenidos en la invitacion publica. </t>
    </r>
    <r>
      <rPr>
        <b/>
        <sz val="11"/>
        <color indexed="8"/>
        <rFont val="Calibri"/>
        <family val="2"/>
      </rPr>
      <t xml:space="preserve">
</t>
    </r>
  </si>
  <si>
    <t xml:space="preserve">PUBLICACION DEL INFORME: Se publica un informe de la evaluación firmado por el rector en la pagina web institucional, para que los oferentes presenten las observaciones que consideren pertinentes.
                                                                                                                                                                                                                               OBSERVACIONES AL INFORME: Estas serán entregadas por los diferentes oferentes que tengan observaciones al informe de evaluación,  al correo electrónico mariogiraldo2011Qgmail.com.
                                                                                                                                                                                                                                         RESPUESTA A LAS OBSERVACIONES: Se da respuesta motivada a las observaciones indicando claramente las causas por las que se acoge o no una observación, esto se informará mediante la pagina web Institucional. 
</t>
  </si>
  <si>
    <t>Página web Institucional / 10:00 a.m.</t>
  </si>
  <si>
    <t>correo electronico mariogiraldo2011@gmail.com   / 8:00 a.m. a 4:00 p.m.</t>
  </si>
  <si>
    <t>Página web institucional / 11:00 a.m.</t>
  </si>
  <si>
    <t>Enviar contrato con firma digital al correo mariogiraldo@gmail.com</t>
  </si>
  <si>
    <t xml:space="preserve">CELEBRACIÓN DEL CONTRATO: se elabora minuta del contrato, dejando claridad de partes contratantes, valor, duración, obligación de las partes, causales de terminación. El contrato se firmará virtualmente y sera enviado al correo mariogiraldo2011@gmail.com, este documento quedará pendiente de firma original hasta dos semanas después de terminada la contingencia por el COVID 19.                                                                                                    
                                                                                                                                                                                                                                                       Cada contrato deberá contener el proceso de liquidación, con el fin de que no haya discusión alguna sobre la cancelación de este y constancia de que no se le adeuda nada al contratista. 
</t>
  </si>
  <si>
    <t>Recepción de cotizaciones al correo electronico mariogiraldo2011@gmail.com</t>
  </si>
  <si>
    <t>no</t>
  </si>
  <si>
    <t>si</t>
  </si>
  <si>
    <t>ADJUDICACION DE LA CONTRATACIÓN: Ase expide la Resolucion Rectoral que adjudica el contrato de bienes o servicios, siguiendo los principios de transparencia, publicidad, responsabilidad y economía; este se informarpa en la pagina web de la institución.</t>
  </si>
  <si>
    <t xml:space="preserve">  4:00 p.m.</t>
  </si>
  <si>
    <t>Realizado por el Rector/ 5:00 p.m. a 6:00 p.m.</t>
  </si>
  <si>
    <t>correo electronico mariogiraldo2011@gmail.com / 8:00 p.m. a 10:00 a.m.</t>
  </si>
  <si>
    <t>Página web Institucional/2 pm</t>
  </si>
  <si>
    <t>Compra de textos escolares de 6° a 11°</t>
  </si>
  <si>
    <t>Compra de textos escolares de matemáticas y leengua castellana para los grados sexto, septimo, octavo, noveno, decimo y once con el fin de avanzar en la educacion y proveer conocimiento durante la contingencia por el COVID 19,  ya que la gran mayoria de los alumnos no cuenta con acceso a medios virtuales para el apoyo de las actividades educativas. Con esto son beneficiados los alumnos de secundaria de la institucion.</t>
  </si>
  <si>
    <t>Diez y siete millones trescientos setenta y cuatro mil pesos M/L</t>
  </si>
  <si>
    <t>EDUCAR EDITORES S.A</t>
  </si>
  <si>
    <t>LIBROS Y LIBROS S.A</t>
  </si>
  <si>
    <t xml:space="preserve">EUREKA LIBROS S.A.S </t>
  </si>
  <si>
    <t>900,677,076-1</t>
  </si>
  <si>
    <t>LENGUAJE 6°</t>
  </si>
  <si>
    <t>LENGUAJE 7°</t>
  </si>
  <si>
    <t>LENGUAJE 8°</t>
  </si>
  <si>
    <t>LENGUAJE 9°</t>
  </si>
  <si>
    <t>LENGUAJE 10°</t>
  </si>
  <si>
    <t>LENGUAJE 11°</t>
  </si>
  <si>
    <t>MATEMATICAS 6°</t>
  </si>
  <si>
    <t>MATEMATICAS 7°</t>
  </si>
  <si>
    <t>MATEMATICAS 8°</t>
  </si>
  <si>
    <t>MATEMATICAS 9°</t>
  </si>
  <si>
    <t>MATEMATICAS 10°</t>
  </si>
  <si>
    <t>MATEMATICAS 11°</t>
  </si>
  <si>
    <t>30 de abril de 2020</t>
  </si>
  <si>
    <t>4 de mayo de 2020</t>
  </si>
  <si>
    <t>6 de mayo de 2020</t>
  </si>
  <si>
    <t>7 de mayo de 2020</t>
  </si>
  <si>
    <t>8 de mayo de 2020</t>
  </si>
  <si>
    <t>11 de mayo de 2020</t>
  </si>
  <si>
    <t>10</t>
  </si>
  <si>
    <t>15 de mayo de  2020</t>
  </si>
  <si>
    <t>12 de mayo de 2020</t>
  </si>
  <si>
    <t>ERNESTO DIAZ CENTENO</t>
  </si>
  <si>
    <t>79.939.198</t>
  </si>
  <si>
    <t>Bogotá</t>
  </si>
  <si>
    <t>diez y siete millones doscientos cuarenta mil pesos M/L</t>
  </si>
  <si>
    <t>3 dias</t>
  </si>
  <si>
    <t>SI</t>
  </si>
  <si>
    <t>NO</t>
  </si>
  <si>
    <t>CALLE 15 ·68D-52</t>
  </si>
  <si>
    <t>notificacioneslyl.com.co</t>
  </si>
  <si>
    <t>EDITORIAL LIBROS Y LIBROS S.A L Y L S.A</t>
  </si>
  <si>
    <t>860.531.396-1</t>
  </si>
  <si>
    <t>005-03-2020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</si>
</sst>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_(&quot;$&quot;\ * \(#,##0.00\);_(&quot;$&quot;\ * &quot;-&quot;??_);_(@_)"/>
    <numFmt numFmtId="165" formatCode="&quot;$&quot;\ #,##0"/>
    <numFmt numFmtId="166" formatCode="[$$-240A]\ #,##0"/>
    <numFmt numFmtId="167" formatCode="_(&quot;$&quot;\ * #,##0_);_(&quot;$&quot;\ * \(#,##0\);_(&quot;$&quot;\ * &quot;-&quot;??_);_(@_)"/>
    <numFmt numFmtId="168" formatCode="&quot;$&quot;#,##0"/>
  </numFmts>
  <fonts count="47" x14ac:knownFonts="1">
    <font>
      <sz val="11"/>
      <color theme="1"/>
      <name val="Calibri"/>
      <family val="2"/>
      <scheme val="minor"/>
    </font>
    <font>
      <sz val="11"/>
      <color indexed="8"/>
      <name val="Calibri"/>
      <family val="2"/>
    </font>
    <font>
      <b/>
      <sz val="11"/>
      <color indexed="8"/>
      <name val="Calibri"/>
      <family val="2"/>
    </font>
    <font>
      <sz val="12"/>
      <color indexed="8"/>
      <name val="Arial"/>
      <family val="2"/>
    </font>
    <font>
      <sz val="10"/>
      <color indexed="10"/>
      <name val="Calibri"/>
      <family val="2"/>
    </font>
    <font>
      <b/>
      <sz val="10"/>
      <color indexed="8"/>
      <name val="Calibri"/>
      <family val="2"/>
    </font>
    <font>
      <sz val="10"/>
      <color indexed="8"/>
      <name val="Calibri"/>
      <family val="2"/>
    </font>
    <font>
      <sz val="11"/>
      <color theme="1"/>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sz val="11"/>
      <color rgb="FFC00000"/>
      <name val="Calibri"/>
      <family val="2"/>
      <scheme val="minor"/>
    </font>
    <font>
      <b/>
      <sz val="11"/>
      <name val="Calibri"/>
      <family val="2"/>
      <scheme val="minor"/>
    </font>
    <font>
      <b/>
      <sz val="11"/>
      <color rgb="FFC00000"/>
      <name val="Calibri"/>
      <family val="2"/>
      <scheme val="minor"/>
    </font>
    <font>
      <sz val="12"/>
      <color theme="1"/>
      <name val="Arial"/>
      <family val="2"/>
    </font>
    <font>
      <b/>
      <sz val="10"/>
      <color rgb="FF000000"/>
      <name val="Arial"/>
      <family val="2"/>
    </font>
    <font>
      <sz val="11"/>
      <color rgb="FF000000"/>
      <name val="Arial"/>
      <family val="2"/>
    </font>
    <font>
      <b/>
      <sz val="12"/>
      <color theme="1"/>
      <name val="Agency FB"/>
      <family val="2"/>
    </font>
    <font>
      <sz val="10"/>
      <color theme="1"/>
      <name val="Calibri"/>
      <family val="2"/>
      <scheme val="minor"/>
    </font>
    <font>
      <sz val="11"/>
      <color theme="1"/>
      <name val="Arial"/>
      <family val="2"/>
    </font>
    <font>
      <sz val="14"/>
      <color theme="1"/>
      <name val="Arial"/>
      <family val="2"/>
    </font>
    <font>
      <sz val="14"/>
      <color theme="1"/>
      <name val="Calibri"/>
      <family val="2"/>
      <scheme val="minor"/>
    </font>
    <font>
      <b/>
      <sz val="11"/>
      <color rgb="FFFF0000"/>
      <name val="Calibri"/>
      <family val="2"/>
      <scheme val="minor"/>
    </font>
    <font>
      <b/>
      <sz val="9"/>
      <color rgb="FF000000"/>
      <name val="Arial"/>
      <family val="2"/>
    </font>
    <font>
      <sz val="9"/>
      <color theme="1"/>
      <name val="Calibri"/>
      <family val="2"/>
      <scheme val="minor"/>
    </font>
    <font>
      <b/>
      <sz val="11"/>
      <color theme="1"/>
      <name val="Arial"/>
      <family val="2"/>
    </font>
    <font>
      <sz val="12"/>
      <color theme="1"/>
      <name val="Calibri"/>
      <family val="2"/>
      <scheme val="minor"/>
    </font>
    <font>
      <sz val="12"/>
      <name val="Calibri"/>
      <family val="2"/>
      <scheme val="minor"/>
    </font>
    <font>
      <b/>
      <sz val="12"/>
      <color theme="1"/>
      <name val="Calibri"/>
      <family val="2"/>
      <scheme val="minor"/>
    </font>
    <font>
      <b/>
      <sz val="10"/>
      <color theme="1"/>
      <name val="Arial"/>
      <family val="2"/>
    </font>
    <font>
      <b/>
      <sz val="12"/>
      <color rgb="FFFF0000"/>
      <name val="Calibri"/>
      <family val="2"/>
      <scheme val="minor"/>
    </font>
    <font>
      <b/>
      <sz val="11"/>
      <color rgb="FF000000"/>
      <name val="Arial"/>
      <family val="2"/>
    </font>
    <font>
      <b/>
      <sz val="11.5"/>
      <color rgb="FF000000"/>
      <name val="Arial"/>
      <family val="2"/>
    </font>
    <font>
      <sz val="10"/>
      <color rgb="FF000000"/>
      <name val="Arial"/>
      <family val="2"/>
    </font>
    <font>
      <sz val="11"/>
      <color rgb="FF000000"/>
      <name val="Calibri"/>
      <family val="2"/>
      <scheme val="minor"/>
    </font>
    <font>
      <b/>
      <sz val="14"/>
      <color theme="1"/>
      <name val="Calibri"/>
      <family val="2"/>
      <scheme val="minor"/>
    </font>
    <font>
      <sz val="11"/>
      <name val="Calibri"/>
      <family val="2"/>
      <scheme val="minor"/>
    </font>
    <font>
      <b/>
      <sz val="14"/>
      <color theme="1"/>
      <name val="Arial"/>
      <family val="2"/>
    </font>
    <font>
      <b/>
      <sz val="11"/>
      <color theme="1"/>
      <name val="Calibri Light"/>
      <family val="2"/>
      <scheme val="major"/>
    </font>
    <font>
      <b/>
      <sz val="12"/>
      <color theme="1"/>
      <name val="Arial"/>
      <family val="2"/>
    </font>
    <font>
      <sz val="10"/>
      <name val="Calibri"/>
      <family val="2"/>
      <scheme val="minor"/>
    </font>
    <font>
      <b/>
      <sz val="9"/>
      <color theme="1"/>
      <name val="Calibri Light"/>
      <family val="2"/>
      <scheme val="major"/>
    </font>
    <font>
      <b/>
      <u/>
      <sz val="10"/>
      <color theme="1"/>
      <name val="Calibri"/>
      <family val="2"/>
      <scheme val="minor"/>
    </font>
    <font>
      <b/>
      <u/>
      <sz val="11"/>
      <color theme="1"/>
      <name val="Calibri"/>
      <family val="2"/>
      <scheme val="minor"/>
    </font>
    <font>
      <sz val="10"/>
      <color theme="1"/>
      <name val="Arial"/>
      <family val="2"/>
    </font>
    <font>
      <b/>
      <u/>
      <sz val="12"/>
      <color theme="1"/>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33CC3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rgb="FFFFFF00"/>
        <bgColor indexed="64"/>
      </patternFill>
    </fill>
    <fill>
      <patternFill patternType="solid">
        <fgColor rgb="FF00B050"/>
        <bgColor indexed="64"/>
      </patternFill>
    </fill>
    <fill>
      <patternFill patternType="solid">
        <fgColor rgb="FFFF333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164" fontId="7" fillId="0" borderId="0" applyFont="0" applyFill="0" applyBorder="0" applyAlignment="0" applyProtection="0"/>
  </cellStyleXfs>
  <cellXfs count="440">
    <xf numFmtId="0" fontId="0" fillId="0" borderId="0" xfId="0"/>
    <xf numFmtId="0" fontId="0" fillId="0" borderId="0" xfId="0" applyBorder="1"/>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0" fillId="0" borderId="0" xfId="0" applyAlignment="1"/>
    <xf numFmtId="0" fontId="0" fillId="0" borderId="0" xfId="0" applyAlignment="1">
      <alignment horizontal="justify" vertical="justify"/>
    </xf>
    <xf numFmtId="0" fontId="15" fillId="0" borderId="0" xfId="0" applyFont="1"/>
    <xf numFmtId="0" fontId="20" fillId="0" borderId="0" xfId="0" applyFont="1"/>
    <xf numFmtId="2" fontId="0" fillId="0" borderId="0" xfId="0" applyNumberFormat="1" applyAlignment="1">
      <alignment horizontal="center" vertical="justify"/>
    </xf>
    <xf numFmtId="2" fontId="10" fillId="0" borderId="1" xfId="0" applyNumberFormat="1" applyFont="1" applyBorder="1" applyAlignment="1">
      <alignment horizontal="center" vertical="center"/>
    </xf>
    <xf numFmtId="2" fontId="10" fillId="0" borderId="1" xfId="0" applyNumberFormat="1" applyFont="1" applyBorder="1" applyAlignment="1">
      <alignment horizontal="center" vertical="justify"/>
    </xf>
    <xf numFmtId="1" fontId="0" fillId="0" borderId="1" xfId="0" applyNumberFormat="1" applyBorder="1" applyAlignment="1">
      <alignment horizontal="center" vertical="center"/>
    </xf>
    <xf numFmtId="2" fontId="17" fillId="0" borderId="0" xfId="0" applyNumberFormat="1" applyFont="1" applyBorder="1" applyAlignment="1">
      <alignment vertical="center" wrapText="1"/>
    </xf>
    <xf numFmtId="0" fontId="17" fillId="0" borderId="0" xfId="0" applyFont="1" applyBorder="1" applyAlignment="1">
      <alignment vertical="center" wrapText="1"/>
    </xf>
    <xf numFmtId="2" fontId="0" fillId="0" borderId="0" xfId="0" applyNumberFormat="1" applyBorder="1" applyAlignment="1">
      <alignment vertical="center"/>
    </xf>
    <xf numFmtId="0" fontId="0" fillId="0" borderId="0" xfId="0" applyBorder="1" applyAlignment="1">
      <alignment vertical="center"/>
    </xf>
    <xf numFmtId="0" fontId="16" fillId="0" borderId="2" xfId="0" applyFont="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Border="1" applyAlignment="1">
      <alignment horizontal="center" vertical="center"/>
    </xf>
    <xf numFmtId="49" fontId="26" fillId="0" borderId="2" xfId="0" applyNumberFormat="1" applyFont="1" applyBorder="1" applyAlignment="1">
      <alignment horizontal="center" vertical="center" wrapText="1"/>
    </xf>
    <xf numFmtId="9" fontId="15" fillId="0" borderId="2" xfId="0" applyNumberFormat="1" applyFont="1" applyBorder="1" applyAlignment="1">
      <alignment horizontal="center" vertical="center"/>
    </xf>
    <xf numFmtId="9" fontId="15" fillId="0" borderId="4" xfId="0" applyNumberFormat="1" applyFont="1" applyBorder="1" applyAlignment="1">
      <alignment horizontal="center" vertical="center" wrapText="1"/>
    </xf>
    <xf numFmtId="9" fontId="15" fillId="0" borderId="6" xfId="0" applyNumberFormat="1" applyFont="1" applyBorder="1" applyAlignment="1">
      <alignment horizontal="center" vertical="center" wrapText="1"/>
    </xf>
    <xf numFmtId="0" fontId="0" fillId="0" borderId="0" xfId="0" applyFont="1" applyAlignment="1">
      <alignment horizontal="left" vertical="top" wrapText="1"/>
    </xf>
    <xf numFmtId="0" fontId="0" fillId="0" borderId="0" xfId="0" applyFill="1"/>
    <xf numFmtId="0" fontId="0" fillId="0" borderId="0" xfId="0" applyAlignment="1">
      <alignment vertical="center" wrapText="1"/>
    </xf>
    <xf numFmtId="0" fontId="19" fillId="0" borderId="0" xfId="0" applyFont="1"/>
    <xf numFmtId="0" fontId="30" fillId="0" borderId="0" xfId="0" applyFont="1" applyBorder="1" applyAlignment="1">
      <alignment vertical="center" wrapText="1"/>
    </xf>
    <xf numFmtId="0" fontId="0" fillId="0" borderId="0" xfId="0"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justify" vertical="center" wrapText="1"/>
    </xf>
    <xf numFmtId="14" fontId="0" fillId="0" borderId="0" xfId="0" applyNumberFormat="1"/>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justify" vertical="center" wrapText="1"/>
    </xf>
    <xf numFmtId="0" fontId="16" fillId="0" borderId="1" xfId="0" applyFont="1" applyFill="1" applyBorder="1" applyAlignment="1">
      <alignment horizontal="center" vertical="center" wrapText="1"/>
    </xf>
    <xf numFmtId="0" fontId="1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19" fillId="0" borderId="0" xfId="0" applyFont="1" applyAlignment="1">
      <alignment horizontal="left" vertical="top" wrapText="1"/>
    </xf>
    <xf numFmtId="0" fontId="19" fillId="0" borderId="0" xfId="0" applyFont="1" applyAlignment="1">
      <alignment horizontal="left" wrapText="1"/>
    </xf>
    <xf numFmtId="0" fontId="6" fillId="0" borderId="0" xfId="0" applyFont="1" applyAlignment="1">
      <alignment horizontal="left" vertical="top" wrapText="1"/>
    </xf>
    <xf numFmtId="0" fontId="10"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justify"/>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0" fillId="0" borderId="1" xfId="0" applyNumberFormat="1" applyBorder="1" applyAlignment="1">
      <alignment horizontal="center" vertical="center"/>
    </xf>
    <xf numFmtId="168" fontId="0" fillId="0" borderId="1" xfId="0" applyNumberFormat="1" applyBorder="1" applyAlignment="1">
      <alignment horizontal="center" vertical="center"/>
    </xf>
    <xf numFmtId="0" fontId="15" fillId="0" borderId="0" xfId="0" applyFont="1" applyBorder="1" applyAlignment="1">
      <alignment vertical="center" wrapText="1"/>
    </xf>
    <xf numFmtId="0" fontId="0" fillId="0" borderId="0" xfId="0" applyFont="1" applyAlignment="1">
      <alignment horizontal="justify" vertical="top" wrapText="1"/>
    </xf>
    <xf numFmtId="0" fontId="19" fillId="0" borderId="0" xfId="0" applyFont="1" applyAlignment="1">
      <alignment horizontal="justify" vertical="top" wrapText="1"/>
    </xf>
    <xf numFmtId="0" fontId="6" fillId="0" borderId="0" xfId="0" applyFont="1" applyAlignment="1">
      <alignment horizontal="justify" vertical="top" wrapText="1"/>
    </xf>
    <xf numFmtId="0" fontId="42" fillId="0" borderId="0" xfId="0" applyFont="1" applyAlignment="1">
      <alignment horizontal="left" wrapText="1"/>
    </xf>
    <xf numFmtId="0" fontId="42" fillId="0" borderId="0" xfId="0" applyFont="1" applyAlignment="1">
      <alignment wrapText="1"/>
    </xf>
    <xf numFmtId="0" fontId="43" fillId="0" borderId="0" xfId="0" applyFont="1" applyAlignment="1">
      <alignment horizontal="left" wrapText="1"/>
    </xf>
    <xf numFmtId="0" fontId="43" fillId="0" borderId="0" xfId="0" applyFont="1" applyAlignment="1">
      <alignment horizontal="left" vertical="top" wrapText="1"/>
    </xf>
    <xf numFmtId="0" fontId="0" fillId="0" borderId="0" xfId="0" applyAlignment="1">
      <alignment wrapText="1"/>
    </xf>
    <xf numFmtId="0" fontId="10"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horizontal="left" wrapText="1"/>
    </xf>
    <xf numFmtId="0" fontId="43" fillId="0" borderId="0" xfId="0" applyFont="1" applyAlignment="1">
      <alignment vertical="top" wrapText="1"/>
    </xf>
    <xf numFmtId="0" fontId="43" fillId="0" borderId="0" xfId="0" applyFont="1" applyAlignment="1">
      <alignment wrapText="1"/>
    </xf>
    <xf numFmtId="0" fontId="11" fillId="0" borderId="0" xfId="0" applyFont="1" applyAlignment="1">
      <alignment vertical="center" wrapText="1"/>
    </xf>
    <xf numFmtId="2" fontId="27" fillId="8" borderId="1" xfId="0" applyNumberFormat="1" applyFont="1" applyFill="1" applyBorder="1" applyAlignment="1" applyProtection="1">
      <alignment horizontal="left" vertical="center"/>
      <protection locked="0"/>
    </xf>
    <xf numFmtId="49" fontId="27" fillId="8" borderId="1" xfId="0" applyNumberFormat="1" applyFont="1" applyFill="1" applyBorder="1" applyAlignment="1" applyProtection="1">
      <alignment horizontal="left" vertical="center"/>
      <protection locked="0"/>
    </xf>
    <xf numFmtId="3" fontId="10" fillId="5" borderId="1" xfId="0" applyNumberFormat="1" applyFont="1" applyFill="1" applyBorder="1" applyAlignment="1" applyProtection="1">
      <alignment vertical="center"/>
      <protection locked="0"/>
    </xf>
    <xf numFmtId="0" fontId="27" fillId="8" borderId="1" xfId="0" applyNumberFormat="1" applyFont="1" applyFill="1" applyBorder="1" applyAlignment="1" applyProtection="1">
      <alignment horizontal="left" vertical="center"/>
      <protection locked="0"/>
    </xf>
    <xf numFmtId="3" fontId="0" fillId="5" borderId="1" xfId="0" applyNumberFormat="1" applyFill="1" applyBorder="1" applyProtection="1">
      <protection locked="0"/>
    </xf>
    <xf numFmtId="165" fontId="0" fillId="8" borderId="1" xfId="0" applyNumberFormat="1" applyFill="1" applyBorder="1" applyAlignment="1" applyProtection="1">
      <alignment horizontal="right" vertical="center"/>
      <protection locked="0"/>
    </xf>
    <xf numFmtId="0" fontId="0" fillId="8" borderId="1" xfId="0" applyFill="1" applyBorder="1" applyAlignment="1" applyProtection="1">
      <alignment horizontal="center" vertical="center"/>
      <protection locked="0"/>
    </xf>
    <xf numFmtId="0" fontId="0" fillId="8" borderId="1" xfId="0" quotePrefix="1" applyFill="1" applyBorder="1" applyAlignment="1" applyProtection="1">
      <alignment horizontal="center" vertical="center"/>
      <protection locked="0"/>
    </xf>
    <xf numFmtId="1" fontId="27" fillId="8" borderId="1" xfId="0" applyNumberFormat="1" applyFont="1" applyFill="1" applyBorder="1" applyAlignment="1" applyProtection="1">
      <alignment horizontal="left" vertical="center"/>
      <protection locked="0"/>
    </xf>
    <xf numFmtId="166" fontId="27" fillId="8" borderId="1" xfId="0" applyNumberFormat="1" applyFont="1" applyFill="1" applyBorder="1" applyAlignment="1" applyProtection="1">
      <alignment horizontal="left" vertical="center"/>
      <protection locked="0"/>
    </xf>
    <xf numFmtId="165" fontId="0" fillId="8" borderId="1" xfId="0" quotePrefix="1" applyNumberFormat="1" applyFill="1" applyBorder="1" applyAlignment="1" applyProtection="1">
      <alignment horizontal="right" vertical="center"/>
      <protection locked="0"/>
    </xf>
    <xf numFmtId="0" fontId="8" fillId="8" borderId="1" xfId="1" applyFill="1" applyBorder="1" applyAlignment="1" applyProtection="1">
      <alignment horizontal="left" vertical="center"/>
      <protection locked="0"/>
    </xf>
    <xf numFmtId="0" fontId="0" fillId="5" borderId="1" xfId="0"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0" fillId="0" borderId="0" xfId="0" applyProtection="1"/>
    <xf numFmtId="0" fontId="0" fillId="0" borderId="1" xfId="0" applyBorder="1" applyAlignment="1" applyProtection="1">
      <alignment horizontal="center" vertical="center"/>
    </xf>
    <xf numFmtId="0" fontId="27" fillId="6" borderId="1" xfId="0" applyFont="1" applyFill="1" applyBorder="1" applyAlignment="1" applyProtection="1">
      <alignment horizontal="left" vertical="center"/>
    </xf>
    <xf numFmtId="2" fontId="0" fillId="0" borderId="0"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165" fontId="27" fillId="9" borderId="0" xfId="0" applyNumberFormat="1" applyFont="1" applyFill="1" applyAlignment="1" applyProtection="1">
      <alignment horizontal="left" vertical="center"/>
    </xf>
    <xf numFmtId="2" fontId="10" fillId="0" borderId="0" xfId="0" applyNumberFormat="1" applyFont="1" applyBorder="1" applyAlignment="1" applyProtection="1">
      <alignment horizontal="left" vertical="center"/>
    </xf>
    <xf numFmtId="0" fontId="10" fillId="0" borderId="0" xfId="0" applyFont="1" applyProtection="1"/>
    <xf numFmtId="3" fontId="27" fillId="9" borderId="0" xfId="0" applyNumberFormat="1" applyFont="1" applyFill="1" applyAlignment="1" applyProtection="1">
      <alignment horizontal="left" vertical="center"/>
    </xf>
    <xf numFmtId="0" fontId="0" fillId="2" borderId="0" xfId="0" applyFill="1" applyProtection="1"/>
    <xf numFmtId="166" fontId="10" fillId="0" borderId="0" xfId="2" applyNumberFormat="1" applyFont="1" applyBorder="1" applyAlignment="1" applyProtection="1">
      <alignment horizontal="left" vertical="center"/>
    </xf>
    <xf numFmtId="0" fontId="0" fillId="0" borderId="1" xfId="0" applyBorder="1" applyProtection="1"/>
    <xf numFmtId="3" fontId="12" fillId="3" borderId="1" xfId="0" applyNumberFormat="1" applyFont="1" applyFill="1" applyBorder="1" applyProtection="1"/>
    <xf numFmtId="166" fontId="27" fillId="9" borderId="1" xfId="2" applyNumberFormat="1" applyFont="1" applyFill="1" applyBorder="1" applyAlignment="1" applyProtection="1">
      <alignment horizontal="left" vertical="center"/>
    </xf>
    <xf numFmtId="0" fontId="0" fillId="0" borderId="0" xfId="0" applyBorder="1" applyProtection="1"/>
    <xf numFmtId="2" fontId="27" fillId="9" borderId="1" xfId="0" applyNumberFormat="1" applyFont="1" applyFill="1" applyBorder="1" applyAlignment="1" applyProtection="1">
      <alignment horizontal="left" vertical="center"/>
    </xf>
    <xf numFmtId="0" fontId="10" fillId="0" borderId="0" xfId="0" applyFont="1" applyFill="1" applyBorder="1" applyProtection="1"/>
    <xf numFmtId="0" fontId="0" fillId="0" borderId="0" xfId="0" applyFill="1" applyBorder="1" applyProtection="1"/>
    <xf numFmtId="0" fontId="15" fillId="6" borderId="1" xfId="0" applyFont="1" applyFill="1" applyBorder="1" applyAlignment="1" applyProtection="1">
      <alignment horizontal="left" vertical="center"/>
    </xf>
    <xf numFmtId="3" fontId="10" fillId="7" borderId="1" xfId="0" applyNumberFormat="1" applyFont="1" applyFill="1" applyBorder="1" applyAlignment="1" applyProtection="1">
      <alignment vertical="center"/>
    </xf>
    <xf numFmtId="0" fontId="16"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xf>
    <xf numFmtId="0" fontId="13" fillId="0" borderId="1" xfId="0" applyFont="1" applyFill="1" applyBorder="1" applyAlignment="1" applyProtection="1">
      <alignment horizontal="center"/>
    </xf>
    <xf numFmtId="0" fontId="10" fillId="0" borderId="1" xfId="0" applyFont="1" applyFill="1" applyBorder="1" applyAlignment="1" applyProtection="1">
      <alignment horizontal="center"/>
    </xf>
    <xf numFmtId="167" fontId="27" fillId="0" borderId="1" xfId="2" applyNumberFormat="1" applyFont="1" applyFill="1" applyBorder="1" applyProtection="1"/>
    <xf numFmtId="0" fontId="17" fillId="0" borderId="1" xfId="0" applyFont="1" applyBorder="1" applyAlignment="1" applyProtection="1">
      <alignment horizontal="center" vertical="center" wrapText="1"/>
    </xf>
    <xf numFmtId="0" fontId="0" fillId="9" borderId="1" xfId="0" applyFill="1" applyBorder="1" applyAlignment="1" applyProtection="1">
      <alignment horizontal="center" vertical="center"/>
    </xf>
    <xf numFmtId="3" fontId="0" fillId="10" borderId="1" xfId="0" applyNumberFormat="1" applyFill="1" applyBorder="1" applyProtection="1"/>
    <xf numFmtId="2" fontId="10" fillId="0" borderId="0" xfId="0" applyNumberFormat="1" applyFont="1" applyAlignment="1" applyProtection="1">
      <alignment horizontal="left" vertical="center"/>
    </xf>
    <xf numFmtId="2" fontId="0" fillId="0" borderId="0" xfId="0" applyNumberFormat="1" applyAlignment="1" applyProtection="1">
      <alignment horizontal="left" vertical="center"/>
    </xf>
    <xf numFmtId="0" fontId="0" fillId="0" borderId="1" xfId="0" applyBorder="1" applyAlignment="1" applyProtection="1">
      <alignment horizontal="center"/>
    </xf>
    <xf numFmtId="0" fontId="27" fillId="11" borderId="1" xfId="0" applyFont="1" applyFill="1" applyBorder="1" applyAlignment="1" applyProtection="1">
      <alignment horizontal="left" vertical="center"/>
    </xf>
    <xf numFmtId="0" fontId="10" fillId="0" borderId="0" xfId="0" applyFont="1" applyBorder="1" applyAlignment="1" applyProtection="1"/>
    <xf numFmtId="0" fontId="16" fillId="0" borderId="1" xfId="0" applyFont="1" applyFill="1" applyBorder="1" applyAlignment="1" applyProtection="1">
      <alignment horizontal="center" vertical="center" wrapText="1"/>
    </xf>
    <xf numFmtId="0" fontId="18" fillId="0" borderId="3" xfId="0" applyFont="1" applyBorder="1" applyAlignment="1" applyProtection="1">
      <alignment horizontal="center" vertical="center"/>
    </xf>
    <xf numFmtId="0" fontId="18" fillId="0" borderId="1" xfId="0" applyFont="1" applyBorder="1" applyAlignment="1" applyProtection="1">
      <alignment horizontal="center" vertical="center"/>
    </xf>
    <xf numFmtId="167" fontId="10" fillId="0" borderId="0" xfId="2" applyNumberFormat="1" applyFont="1" applyProtection="1"/>
    <xf numFmtId="0" fontId="0" fillId="0" borderId="0" xfId="0" applyBorder="1" applyAlignment="1" applyProtection="1">
      <alignment horizontal="center" vertical="center"/>
    </xf>
    <xf numFmtId="0" fontId="27" fillId="9" borderId="1" xfId="0" applyNumberFormat="1" applyFont="1" applyFill="1" applyBorder="1" applyAlignment="1" applyProtection="1">
      <alignment horizontal="left" vertical="center"/>
    </xf>
    <xf numFmtId="0" fontId="0" fillId="0" borderId="0" xfId="0" applyAlignment="1" applyProtection="1">
      <alignment horizontal="center" vertical="center"/>
    </xf>
    <xf numFmtId="0" fontId="0" fillId="11" borderId="1" xfId="0" applyFont="1" applyFill="1" applyBorder="1" applyAlignment="1" applyProtection="1">
      <alignment horizontal="left" vertical="center"/>
    </xf>
    <xf numFmtId="0" fontId="27" fillId="0" borderId="0" xfId="0" applyFont="1" applyProtection="1"/>
    <xf numFmtId="2" fontId="27" fillId="0" borderId="0" xfId="0" applyNumberFormat="1" applyFont="1" applyAlignment="1" applyProtection="1">
      <alignment horizontal="left" vertical="center"/>
    </xf>
    <xf numFmtId="0" fontId="11" fillId="0" borderId="1" xfId="0"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21" fillId="0" borderId="0" xfId="0" applyNumberFormat="1" applyFont="1" applyFill="1" applyBorder="1" applyAlignment="1" applyProtection="1">
      <alignment horizontal="center" vertical="center"/>
    </xf>
    <xf numFmtId="0" fontId="23" fillId="0" borderId="0" xfId="0" applyFont="1" applyAlignment="1" applyProtection="1">
      <alignment horizontal="center" vertical="center"/>
    </xf>
    <xf numFmtId="0" fontId="0" fillId="0" borderId="0" xfId="0" applyAlignment="1" applyProtection="1">
      <alignment horizontal="center" vertical="center" wrapText="1"/>
    </xf>
    <xf numFmtId="0" fontId="27" fillId="8" borderId="0" xfId="0" applyFont="1" applyFill="1" applyAlignment="1" applyProtection="1">
      <alignment vertical="center"/>
      <protection locked="0"/>
    </xf>
    <xf numFmtId="0" fontId="27" fillId="8" borderId="0" xfId="0" applyFont="1" applyFill="1" applyAlignment="1" applyProtection="1">
      <alignment vertical="center" wrapText="1"/>
      <protection locked="0"/>
    </xf>
    <xf numFmtId="0" fontId="31" fillId="8" borderId="0" xfId="0" applyFont="1" applyFill="1" applyAlignment="1" applyProtection="1">
      <alignment wrapText="1"/>
      <protection locked="0"/>
    </xf>
    <xf numFmtId="0" fontId="0" fillId="0" borderId="16" xfId="0" applyBorder="1" applyProtection="1"/>
    <xf numFmtId="0" fontId="19" fillId="0" borderId="17" xfId="0" applyFont="1" applyBorder="1" applyAlignment="1" applyProtection="1">
      <alignment horizontal="left" vertical="center" wrapText="1"/>
    </xf>
    <xf numFmtId="0" fontId="0" fillId="0" borderId="19" xfId="0" applyBorder="1" applyProtection="1"/>
    <xf numFmtId="0" fontId="19" fillId="0" borderId="20" xfId="0" applyFont="1" applyBorder="1" applyAlignment="1" applyProtection="1">
      <alignment horizontal="left" vertical="center" wrapText="1"/>
    </xf>
    <xf numFmtId="0" fontId="0" fillId="13" borderId="22" xfId="0" applyFill="1" applyBorder="1" applyProtection="1"/>
    <xf numFmtId="0" fontId="19" fillId="13" borderId="23" xfId="0" applyFont="1" applyFill="1" applyBorder="1" applyAlignment="1" applyProtection="1">
      <alignment vertical="center" wrapText="1"/>
    </xf>
    <xf numFmtId="0" fontId="19" fillId="13" borderId="23" xfId="0" applyFont="1" applyFill="1" applyBorder="1" applyAlignment="1" applyProtection="1">
      <alignment horizontal="left" vertical="center" wrapText="1"/>
    </xf>
    <xf numFmtId="14" fontId="19" fillId="13" borderId="23" xfId="0" applyNumberFormat="1" applyFont="1" applyFill="1" applyBorder="1" applyAlignment="1" applyProtection="1">
      <alignment horizontal="center" vertical="center" wrapText="1"/>
    </xf>
    <xf numFmtId="49" fontId="26" fillId="0" borderId="2" xfId="0" applyNumberFormat="1" applyFont="1" applyBorder="1" applyAlignment="1" applyProtection="1">
      <alignment horizontal="center" vertical="center" wrapText="1"/>
    </xf>
    <xf numFmtId="9" fontId="38" fillId="0" borderId="7" xfId="0" applyNumberFormat="1" applyFont="1" applyBorder="1" applyAlignment="1" applyProtection="1">
      <alignment horizontal="center" vertical="center"/>
    </xf>
    <xf numFmtId="0" fontId="40" fillId="0" borderId="7" xfId="0" applyNumberFormat="1" applyFont="1" applyBorder="1" applyAlignment="1" applyProtection="1">
      <alignment horizontal="center" vertical="center"/>
    </xf>
    <xf numFmtId="0" fontId="18" fillId="0" borderId="17" xfId="0" applyFont="1" applyBorder="1" applyAlignment="1" applyProtection="1">
      <alignment horizontal="center" vertical="center"/>
    </xf>
    <xf numFmtId="0" fontId="0" fillId="0" borderId="0" xfId="0" applyAlignment="1">
      <alignment horizontal="left" vertical="top" wrapText="1"/>
    </xf>
    <xf numFmtId="2" fontId="27" fillId="8" borderId="1" xfId="0" applyNumberFormat="1" applyFont="1" applyFill="1" applyBorder="1" applyAlignment="1" applyProtection="1">
      <alignment horizontal="left" vertical="center" wrapText="1"/>
      <protection locked="0"/>
    </xf>
    <xf numFmtId="0" fontId="0" fillId="0" borderId="0" xfId="0" applyAlignment="1">
      <alignment horizontal="justify" vertical="top" wrapText="1"/>
    </xf>
    <xf numFmtId="3" fontId="0" fillId="0" borderId="1" xfId="0" applyNumberFormat="1" applyFill="1" applyBorder="1" applyProtection="1">
      <protection locked="0"/>
    </xf>
    <xf numFmtId="0" fontId="0" fillId="0" borderId="0" xfId="0" applyAlignment="1">
      <alignment horizontal="justify" vertical="top" wrapText="1"/>
    </xf>
    <xf numFmtId="0" fontId="0" fillId="0" borderId="0" xfId="0" applyAlignment="1">
      <alignment horizontal="center" vertical="center"/>
    </xf>
    <xf numFmtId="0" fontId="0" fillId="0" borderId="0" xfId="0" applyAlignment="1">
      <alignment horizontal="center" vertical="center" wrapText="1"/>
    </xf>
    <xf numFmtId="0" fontId="29" fillId="8" borderId="0" xfId="0" applyFont="1" applyFill="1" applyAlignment="1" applyProtection="1">
      <alignment vertical="center" wrapText="1"/>
      <protection locked="0"/>
    </xf>
    <xf numFmtId="0" fontId="34" fillId="0" borderId="1" xfId="0" applyFont="1" applyBorder="1" applyAlignment="1">
      <alignment horizontal="center" vertical="center" wrapText="1"/>
    </xf>
    <xf numFmtId="3" fontId="45" fillId="0" borderId="1" xfId="0" applyNumberFormat="1" applyFont="1" applyBorder="1" applyAlignment="1">
      <alignment horizontal="center" vertical="center" wrapText="1"/>
    </xf>
    <xf numFmtId="0" fontId="19"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justify" vertical="top" wrapText="1"/>
    </xf>
    <xf numFmtId="0" fontId="27" fillId="6" borderId="1" xfId="0" applyFont="1" applyFill="1" applyBorder="1" applyAlignment="1" applyProtection="1">
      <alignment horizontal="left" vertical="center" wrapText="1"/>
    </xf>
    <xf numFmtId="1" fontId="27" fillId="9" borderId="1" xfId="0" applyNumberFormat="1" applyFont="1" applyFill="1" applyBorder="1" applyAlignment="1" applyProtection="1">
      <alignment horizontal="left" vertical="center"/>
    </xf>
    <xf numFmtId="0" fontId="10" fillId="0" borderId="0" xfId="0" applyFont="1" applyAlignment="1">
      <alignment horizontal="center" vertical="center" wrapText="1"/>
    </xf>
    <xf numFmtId="1" fontId="28" fillId="9" borderId="1" xfId="0" applyNumberFormat="1" applyFont="1" applyFill="1" applyBorder="1" applyAlignment="1" applyProtection="1">
      <alignment horizontal="left" vertical="center"/>
    </xf>
    <xf numFmtId="0" fontId="10" fillId="0" borderId="1" xfId="0" applyFont="1" applyBorder="1" applyAlignment="1" applyProtection="1">
      <alignment horizontal="center" vertical="center"/>
    </xf>
    <xf numFmtId="0" fontId="0" fillId="0" borderId="0" xfId="0" applyAlignment="1">
      <alignment horizontal="justify" vertical="top" wrapText="1"/>
    </xf>
    <xf numFmtId="0" fontId="10" fillId="0" borderId="0" xfId="0" applyFont="1" applyAlignment="1">
      <alignment horizontal="justify" vertical="top" wrapText="1"/>
    </xf>
    <xf numFmtId="0" fontId="0" fillId="0" borderId="0" xfId="0" applyAlignment="1">
      <alignment horizontal="left" vertical="top" wrapText="1"/>
    </xf>
    <xf numFmtId="0" fontId="16" fillId="0" borderId="1" xfId="0" applyFont="1" applyFill="1" applyBorder="1" applyAlignment="1">
      <alignment horizontal="center" vertical="center" wrapText="1"/>
    </xf>
    <xf numFmtId="0" fontId="0" fillId="0" borderId="0" xfId="0" applyBorder="1" applyAlignment="1" applyProtection="1">
      <alignment horizontal="center"/>
    </xf>
    <xf numFmtId="49" fontId="21" fillId="0" borderId="1" xfId="0" applyNumberFormat="1" applyFont="1" applyBorder="1" applyAlignment="1" applyProtection="1">
      <alignment horizontal="center" vertical="center" wrapText="1"/>
    </xf>
    <xf numFmtId="49" fontId="21" fillId="0" borderId="17" xfId="0" applyNumberFormat="1" applyFont="1" applyBorder="1" applyAlignment="1" applyProtection="1">
      <alignment horizontal="center" vertical="center" wrapText="1"/>
    </xf>
    <xf numFmtId="0" fontId="39"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2" xfId="0" applyBorder="1" applyAlignment="1">
      <alignment horizontal="center" vertical="center" wrapText="1"/>
    </xf>
    <xf numFmtId="0" fontId="10" fillId="0" borderId="1" xfId="0" applyFont="1" applyBorder="1" applyAlignment="1" applyProtection="1">
      <alignment horizontal="center" vertical="center" wrapText="1"/>
    </xf>
    <xf numFmtId="166" fontId="0" fillId="4" borderId="1" xfId="0" applyNumberFormat="1" applyFill="1" applyBorder="1" applyAlignment="1" applyProtection="1">
      <alignment horizontal="center" vertical="center"/>
      <protection locked="0"/>
    </xf>
    <xf numFmtId="166" fontId="0" fillId="0" borderId="1" xfId="0" applyNumberFormat="1" applyBorder="1" applyAlignment="1">
      <alignment horizontal="right" vertical="center" wrapText="1"/>
    </xf>
    <xf numFmtId="0" fontId="39" fillId="0" borderId="0" xfId="0" applyFont="1" applyBorder="1" applyAlignment="1">
      <alignment vertical="center" wrapText="1"/>
    </xf>
    <xf numFmtId="0" fontId="10" fillId="0" borderId="1" xfId="0" applyFont="1" applyBorder="1" applyAlignment="1">
      <alignment horizontal="right" vertical="center"/>
    </xf>
    <xf numFmtId="0" fontId="0" fillId="0" borderId="0" xfId="0" applyAlignment="1">
      <alignment horizontal="justify" vertical="top" wrapText="1"/>
    </xf>
    <xf numFmtId="2" fontId="10" fillId="11" borderId="1" xfId="0" applyNumberFormat="1" applyFont="1" applyFill="1" applyBorder="1" applyAlignment="1" applyProtection="1">
      <alignment horizontal="center" vertical="center"/>
    </xf>
    <xf numFmtId="168" fontId="0" fillId="8" borderId="1" xfId="0" applyNumberFormat="1" applyFill="1" applyBorder="1" applyAlignment="1" applyProtection="1">
      <alignment horizontal="center" vertical="center"/>
    </xf>
    <xf numFmtId="2" fontId="10" fillId="11" borderId="1" xfId="0" applyNumberFormat="1" applyFont="1" applyFill="1" applyBorder="1" applyAlignment="1" applyProtection="1">
      <alignment horizontal="center" vertical="center" wrapText="1"/>
    </xf>
    <xf numFmtId="0" fontId="0" fillId="0" borderId="0" xfId="0" applyAlignment="1" applyProtection="1">
      <alignment wrapText="1"/>
    </xf>
    <xf numFmtId="10" fontId="0" fillId="8" borderId="1" xfId="0" applyNumberFormat="1" applyFill="1" applyBorder="1" applyAlignment="1" applyProtection="1">
      <alignment horizontal="center" vertical="center"/>
    </xf>
    <xf numFmtId="10" fontId="0" fillId="0" borderId="0" xfId="0" applyNumberFormat="1" applyAlignment="1" applyProtection="1">
      <alignment horizontal="center"/>
    </xf>
    <xf numFmtId="10" fontId="0" fillId="8" borderId="1" xfId="0" applyNumberFormat="1" applyFill="1" applyBorder="1" applyAlignment="1" applyProtection="1">
      <alignment horizontal="center"/>
    </xf>
    <xf numFmtId="9" fontId="0" fillId="8" borderId="1" xfId="0" applyNumberFormat="1" applyFill="1" applyBorder="1" applyAlignment="1" applyProtection="1">
      <alignment horizontal="center"/>
    </xf>
    <xf numFmtId="3" fontId="27" fillId="0" borderId="1" xfId="2" applyNumberFormat="1" applyFont="1" applyFill="1" applyBorder="1" applyProtection="1"/>
    <xf numFmtId="0" fontId="9" fillId="0" borderId="0" xfId="0" applyFont="1" applyBorder="1" applyProtection="1"/>
    <xf numFmtId="0" fontId="0" fillId="0" borderId="0" xfId="0" applyFill="1" applyBorder="1" applyAlignment="1" applyProtection="1">
      <alignment horizontal="center"/>
    </xf>
    <xf numFmtId="0" fontId="13" fillId="3"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4" fillId="4" borderId="1"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2" fontId="29" fillId="8" borderId="1" xfId="0" applyNumberFormat="1" applyFont="1" applyFill="1" applyBorder="1" applyAlignment="1" applyProtection="1">
      <alignment horizontal="left" vertical="center"/>
      <protection locked="0"/>
    </xf>
    <xf numFmtId="3" fontId="0" fillId="3" borderId="7" xfId="0" applyNumberFormat="1" applyFill="1" applyBorder="1" applyAlignment="1" applyProtection="1">
      <alignment vertical="center"/>
      <protection hidden="1"/>
    </xf>
    <xf numFmtId="3" fontId="9" fillId="3" borderId="1" xfId="0" applyNumberFormat="1" applyFont="1" applyFill="1" applyBorder="1" applyProtection="1">
      <protection hidden="1"/>
    </xf>
    <xf numFmtId="3" fontId="0" fillId="3" borderId="1" xfId="0" applyNumberFormat="1" applyFill="1" applyBorder="1" applyProtection="1">
      <protection hidden="1"/>
    </xf>
    <xf numFmtId="3" fontId="9" fillId="4" borderId="1" xfId="0" applyNumberFormat="1" applyFont="1" applyFill="1" applyBorder="1" applyAlignment="1" applyProtection="1">
      <alignment vertical="center"/>
      <protection hidden="1"/>
    </xf>
    <xf numFmtId="3" fontId="0" fillId="4" borderId="1" xfId="0" applyNumberFormat="1" applyFill="1" applyBorder="1" applyAlignment="1" applyProtection="1">
      <alignment vertical="center"/>
      <protection hidden="1"/>
    </xf>
    <xf numFmtId="0" fontId="17" fillId="0" borderId="0" xfId="0" quotePrefix="1"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center"/>
      <protection locked="0"/>
    </xf>
    <xf numFmtId="165" fontId="0" fillId="0" borderId="0" xfId="0" quotePrefix="1" applyNumberFormat="1" applyFill="1" applyBorder="1" applyAlignment="1" applyProtection="1">
      <alignment horizontal="right" vertical="center"/>
      <protection locked="0"/>
    </xf>
    <xf numFmtId="0" fontId="0" fillId="0" borderId="0" xfId="0" applyAlignment="1">
      <alignment horizontal="left" vertical="top" wrapText="1"/>
    </xf>
    <xf numFmtId="0" fontId="0" fillId="0" borderId="0" xfId="0" applyAlignment="1">
      <alignment horizontal="left" vertical="center" wrapText="1"/>
    </xf>
    <xf numFmtId="49" fontId="27" fillId="8" borderId="0" xfId="0" applyNumberFormat="1" applyFont="1" applyFill="1" applyAlignment="1" applyProtection="1">
      <alignment vertical="center"/>
      <protection locked="0"/>
    </xf>
    <xf numFmtId="0" fontId="0" fillId="0" borderId="0" xfId="0" applyAlignment="1">
      <alignment horizontal="justify" vertical="top"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10" fillId="0" borderId="0" xfId="0" applyFont="1" applyBorder="1"/>
    <xf numFmtId="14" fontId="27" fillId="8" borderId="1" xfId="0" applyNumberFormat="1" applyFont="1" applyFill="1" applyBorder="1" applyAlignment="1" applyProtection="1">
      <alignment horizontal="left" vertical="center"/>
      <protection locked="0"/>
    </xf>
    <xf numFmtId="0" fontId="35" fillId="8" borderId="2" xfId="0" applyFont="1" applyFill="1" applyBorder="1" applyAlignment="1" applyProtection="1">
      <alignment horizontal="left" vertical="center"/>
      <protection locked="0"/>
    </xf>
    <xf numFmtId="0" fontId="35" fillId="8" borderId="9" xfId="0" applyFont="1" applyFill="1" applyBorder="1" applyAlignment="1" applyProtection="1">
      <alignment horizontal="left" vertical="center"/>
      <protection locked="0"/>
    </xf>
    <xf numFmtId="0" fontId="35" fillId="8" borderId="3" xfId="0" applyFont="1" applyFill="1" applyBorder="1" applyAlignment="1" applyProtection="1">
      <alignment horizontal="left" vertical="center"/>
      <protection locked="0"/>
    </xf>
    <xf numFmtId="0" fontId="10" fillId="0" borderId="13" xfId="0" applyFont="1" applyBorder="1" applyAlignment="1" applyProtection="1">
      <alignment horizontal="center"/>
    </xf>
    <xf numFmtId="49" fontId="34" fillId="0" borderId="1" xfId="0" applyNumberFormat="1" applyFont="1" applyBorder="1" applyAlignment="1">
      <alignment horizontal="justify" vertical="center" wrapText="1"/>
    </xf>
    <xf numFmtId="0" fontId="22" fillId="0" borderId="5"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32" fillId="0" borderId="1" xfId="0" applyFont="1" applyBorder="1" applyAlignment="1" applyProtection="1">
      <alignment horizontal="center" vertical="center" wrapText="1"/>
    </xf>
    <xf numFmtId="0" fontId="10" fillId="0" borderId="1" xfId="0" applyFont="1" applyBorder="1" applyAlignment="1" applyProtection="1">
      <alignment horizontal="center"/>
    </xf>
    <xf numFmtId="0" fontId="17" fillId="8" borderId="2" xfId="0" applyFont="1" applyFill="1" applyBorder="1" applyAlignment="1" applyProtection="1">
      <alignment horizontal="left" vertical="center" wrapText="1"/>
      <protection locked="0"/>
    </xf>
    <xf numFmtId="0" fontId="17" fillId="8" borderId="9" xfId="0" applyFont="1" applyFill="1" applyBorder="1" applyAlignment="1" applyProtection="1">
      <alignment horizontal="left" vertical="center" wrapText="1"/>
      <protection locked="0"/>
    </xf>
    <xf numFmtId="3" fontId="0" fillId="8" borderId="2" xfId="0" applyNumberFormat="1" applyFill="1" applyBorder="1" applyAlignment="1" applyProtection="1">
      <alignment horizontal="center"/>
      <protection locked="0"/>
    </xf>
    <xf numFmtId="0" fontId="0" fillId="8" borderId="3" xfId="0" applyFill="1" applyBorder="1" applyAlignment="1" applyProtection="1">
      <alignment horizontal="center"/>
      <protection locked="0"/>
    </xf>
    <xf numFmtId="0" fontId="17" fillId="8" borderId="3" xfId="0" applyFont="1" applyFill="1" applyBorder="1" applyAlignment="1" applyProtection="1">
      <alignment horizontal="left" vertical="center" wrapText="1"/>
      <protection locked="0"/>
    </xf>
    <xf numFmtId="0" fontId="17" fillId="8" borderId="2" xfId="0" quotePrefix="1" applyFont="1" applyFill="1" applyBorder="1" applyAlignment="1" applyProtection="1">
      <alignment horizontal="left" vertical="center" wrapText="1"/>
      <protection locked="0"/>
    </xf>
    <xf numFmtId="0" fontId="0" fillId="8" borderId="2" xfId="0" applyFill="1" applyBorder="1" applyAlignment="1" applyProtection="1">
      <alignment horizontal="center"/>
      <protection locked="0"/>
    </xf>
    <xf numFmtId="0" fontId="16" fillId="0" borderId="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49" fontId="15" fillId="0" borderId="24" xfId="0" applyNumberFormat="1" applyFont="1" applyBorder="1" applyAlignment="1" applyProtection="1">
      <alignment horizontal="left" vertical="center" wrapText="1"/>
    </xf>
    <xf numFmtId="49" fontId="15" fillId="0" borderId="25" xfId="0" applyNumberFormat="1" applyFont="1" applyBorder="1" applyAlignment="1" applyProtection="1">
      <alignment horizontal="left" vertical="center" wrapText="1"/>
    </xf>
    <xf numFmtId="49" fontId="15" fillId="0" borderId="26" xfId="0" applyNumberFormat="1" applyFont="1" applyBorder="1" applyAlignment="1" applyProtection="1">
      <alignment horizontal="left" vertical="center" wrapText="1"/>
    </xf>
    <xf numFmtId="0" fontId="36" fillId="0" borderId="7" xfId="0" applyFont="1" applyBorder="1" applyAlignment="1" applyProtection="1">
      <alignment horizontal="center" vertical="center"/>
    </xf>
    <xf numFmtId="49" fontId="38" fillId="0" borderId="2" xfId="0" applyNumberFormat="1" applyFont="1" applyBorder="1" applyAlignment="1" applyProtection="1">
      <alignment horizontal="center" vertical="center" wrapText="1"/>
    </xf>
    <xf numFmtId="49" fontId="38" fillId="0" borderId="9" xfId="0" applyNumberFormat="1" applyFont="1" applyBorder="1" applyAlignment="1" applyProtection="1">
      <alignment horizontal="center" vertical="center" wrapText="1"/>
    </xf>
    <xf numFmtId="49" fontId="38" fillId="0" borderId="3" xfId="0" applyNumberFormat="1" applyFont="1" applyBorder="1" applyAlignment="1" applyProtection="1">
      <alignment horizontal="center" vertical="center" wrapText="1"/>
    </xf>
    <xf numFmtId="0" fontId="19" fillId="0" borderId="21"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10" fillId="0" borderId="2"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3" xfId="0" applyFont="1" applyBorder="1" applyAlignment="1" applyProtection="1">
      <alignment horizontal="center" vertical="center"/>
    </xf>
    <xf numFmtId="14" fontId="19" fillId="9" borderId="21" xfId="0" applyNumberFormat="1" applyFont="1" applyFill="1" applyBorder="1" applyAlignment="1" applyProtection="1">
      <alignment horizontal="center" vertical="center" wrapText="1"/>
    </xf>
    <xf numFmtId="14" fontId="19" fillId="9" borderId="8" xfId="0" applyNumberFormat="1" applyFont="1" applyFill="1" applyBorder="1" applyAlignment="1" applyProtection="1">
      <alignment horizontal="center" vertical="center" wrapText="1"/>
    </xf>
    <xf numFmtId="14" fontId="19" fillId="9" borderId="18" xfId="0" applyNumberFormat="1" applyFont="1" applyFill="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49" fontId="15" fillId="0" borderId="2" xfId="0" applyNumberFormat="1" applyFont="1" applyBorder="1" applyAlignment="1" applyProtection="1">
      <alignment horizontal="left" vertical="center" wrapText="1"/>
    </xf>
    <xf numFmtId="49" fontId="15" fillId="0" borderId="9" xfId="0" applyNumberFormat="1" applyFont="1" applyBorder="1" applyAlignment="1" applyProtection="1">
      <alignment horizontal="left" vertical="center" wrapText="1"/>
    </xf>
    <xf numFmtId="49" fontId="15" fillId="0" borderId="3" xfId="0" applyNumberFormat="1" applyFont="1" applyBorder="1" applyAlignment="1" applyProtection="1">
      <alignment horizontal="left" vertical="center" wrapText="1"/>
    </xf>
    <xf numFmtId="0" fontId="33" fillId="0" borderId="2"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33" fillId="0" borderId="3" xfId="0" applyFont="1" applyBorder="1" applyAlignment="1" applyProtection="1">
      <alignment horizontal="center" vertical="center" wrapText="1"/>
    </xf>
    <xf numFmtId="49" fontId="34" fillId="0" borderId="10" xfId="0" applyNumberFormat="1" applyFont="1" applyBorder="1" applyAlignment="1" applyProtection="1">
      <alignment horizontal="center" vertical="center" wrapText="1"/>
    </xf>
    <xf numFmtId="49" fontId="34" fillId="0" borderId="5" xfId="0" applyNumberFormat="1" applyFont="1" applyBorder="1" applyAlignment="1" applyProtection="1">
      <alignment horizontal="center" vertical="center" wrapText="1"/>
    </xf>
    <xf numFmtId="49" fontId="34" fillId="0" borderId="11" xfId="0" applyNumberFormat="1" applyFont="1" applyBorder="1" applyAlignment="1" applyProtection="1">
      <alignment horizontal="center" vertical="center" wrapText="1"/>
    </xf>
    <xf numFmtId="49" fontId="34" fillId="0" borderId="12" xfId="0" applyNumberFormat="1" applyFont="1" applyBorder="1" applyAlignment="1" applyProtection="1">
      <alignment horizontal="center" vertical="center" wrapText="1"/>
    </xf>
    <xf numFmtId="49" fontId="34" fillId="0" borderId="13" xfId="0" applyNumberFormat="1" applyFont="1" applyBorder="1" applyAlignment="1" applyProtection="1">
      <alignment horizontal="center" vertical="center" wrapText="1"/>
    </xf>
    <xf numFmtId="49" fontId="34" fillId="0" borderId="14" xfId="0" applyNumberFormat="1" applyFont="1" applyBorder="1" applyAlignment="1" applyProtection="1">
      <alignment horizontal="center" vertical="center" wrapText="1"/>
    </xf>
    <xf numFmtId="0" fontId="0" fillId="0" borderId="2" xfId="0" applyBorder="1" applyAlignment="1" applyProtection="1">
      <alignment horizontal="center"/>
    </xf>
    <xf numFmtId="0" fontId="0" fillId="0" borderId="9" xfId="0" applyBorder="1" applyAlignment="1" applyProtection="1">
      <alignment horizontal="center"/>
    </xf>
    <xf numFmtId="0" fontId="0" fillId="0" borderId="3" xfId="0" applyBorder="1" applyAlignment="1" applyProtection="1">
      <alignment horizontal="center"/>
    </xf>
    <xf numFmtId="49" fontId="34" fillId="0" borderId="2" xfId="0" applyNumberFormat="1" applyFont="1" applyBorder="1" applyAlignment="1" applyProtection="1">
      <alignment horizontal="center" vertical="justify" wrapText="1"/>
    </xf>
    <xf numFmtId="49" fontId="34" fillId="0" borderId="9" xfId="0" applyNumberFormat="1" applyFont="1" applyBorder="1" applyAlignment="1" applyProtection="1">
      <alignment horizontal="center" vertical="justify" wrapText="1"/>
    </xf>
    <xf numFmtId="49" fontId="34" fillId="0" borderId="3" xfId="0" applyNumberFormat="1" applyFont="1" applyBorder="1" applyAlignment="1" applyProtection="1">
      <alignment horizontal="center" vertical="justify" wrapText="1"/>
    </xf>
    <xf numFmtId="15" fontId="19" fillId="9" borderId="4" xfId="0" applyNumberFormat="1" applyFont="1" applyFill="1" applyBorder="1" applyAlignment="1" applyProtection="1">
      <alignment horizontal="center" vertical="center" wrapText="1"/>
    </xf>
    <xf numFmtId="15" fontId="19" fillId="9" borderId="8" xfId="0" applyNumberFormat="1" applyFont="1" applyFill="1" applyBorder="1" applyAlignment="1" applyProtection="1">
      <alignment horizontal="center" vertical="center" wrapText="1"/>
    </xf>
    <xf numFmtId="15" fontId="19" fillId="9" borderId="1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wrapText="1"/>
    </xf>
    <xf numFmtId="14" fontId="19" fillId="12" borderId="21" xfId="0" applyNumberFormat="1" applyFont="1" applyFill="1" applyBorder="1" applyAlignment="1" applyProtection="1">
      <alignment horizontal="center" vertical="center" wrapText="1"/>
      <protection locked="0"/>
    </xf>
    <xf numFmtId="14" fontId="19" fillId="12" borderId="18" xfId="0" applyNumberFormat="1"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xf>
    <xf numFmtId="0" fontId="0" fillId="9" borderId="1" xfId="0" applyFill="1" applyBorder="1" applyAlignment="1" applyProtection="1">
      <alignment horizontal="center" vertical="center"/>
    </xf>
    <xf numFmtId="0" fontId="0" fillId="10" borderId="1" xfId="0" applyFill="1" applyBorder="1" applyAlignment="1" applyProtection="1">
      <alignment horizontal="center"/>
    </xf>
    <xf numFmtId="0" fontId="0" fillId="5" borderId="1" xfId="0" applyFill="1" applyBorder="1" applyAlignment="1" applyProtection="1">
      <alignment horizontal="left"/>
    </xf>
    <xf numFmtId="0" fontId="0" fillId="8" borderId="1" xfId="0" applyFill="1" applyBorder="1" applyAlignment="1" applyProtection="1">
      <alignment horizontal="center"/>
      <protection locked="0"/>
    </xf>
    <xf numFmtId="0" fontId="10" fillId="0" borderId="1" xfId="0" applyFont="1" applyBorder="1" applyAlignment="1" applyProtection="1">
      <alignment horizontal="center" vertical="center"/>
    </xf>
    <xf numFmtId="0" fontId="10" fillId="5" borderId="1" xfId="0" applyFont="1" applyFill="1" applyBorder="1" applyAlignment="1" applyProtection="1">
      <alignment horizontal="left" vertical="center"/>
    </xf>
    <xf numFmtId="3" fontId="0" fillId="0" borderId="1" xfId="0" applyNumberFormat="1" applyFill="1" applyBorder="1" applyAlignment="1" applyProtection="1">
      <alignment horizontal="left"/>
    </xf>
    <xf numFmtId="49" fontId="19" fillId="0" borderId="20" xfId="0" applyNumberFormat="1" applyFont="1" applyBorder="1" applyAlignment="1" applyProtection="1">
      <alignment horizontal="left" vertical="center" wrapText="1"/>
    </xf>
    <xf numFmtId="49" fontId="19" fillId="0" borderId="17" xfId="0" applyNumberFormat="1" applyFont="1" applyBorder="1" applyAlignment="1" applyProtection="1">
      <alignment horizontal="left" vertical="center" wrapText="1"/>
    </xf>
    <xf numFmtId="2" fontId="22" fillId="0" borderId="0" xfId="0" applyNumberFormat="1" applyFont="1" applyBorder="1" applyAlignment="1" applyProtection="1">
      <alignment horizontal="center" vertical="center" wrapText="1"/>
    </xf>
    <xf numFmtId="2" fontId="22" fillId="0" borderId="16" xfId="0" applyNumberFormat="1" applyFont="1" applyBorder="1" applyAlignment="1" applyProtection="1">
      <alignment horizontal="center" vertical="center" wrapText="1"/>
    </xf>
    <xf numFmtId="2" fontId="22" fillId="0" borderId="19" xfId="0" applyNumberFormat="1"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13" fillId="0" borderId="1" xfId="0" applyFont="1" applyBorder="1" applyAlignment="1" applyProtection="1">
      <alignment horizontal="center" vertical="center"/>
    </xf>
    <xf numFmtId="2" fontId="22" fillId="13" borderId="22" xfId="0" applyNumberFormat="1" applyFont="1" applyFill="1" applyBorder="1" applyAlignment="1" applyProtection="1">
      <alignment horizontal="center" vertical="center" wrapText="1"/>
    </xf>
    <xf numFmtId="2" fontId="10" fillId="8" borderId="1" xfId="0" applyNumberFormat="1" applyFont="1" applyFill="1" applyBorder="1" applyAlignment="1" applyProtection="1">
      <alignment horizontal="justify" vertical="center"/>
      <protection locked="0"/>
    </xf>
    <xf numFmtId="0" fontId="0" fillId="0" borderId="0" xfId="0" applyAlignment="1" applyProtection="1">
      <alignment horizontal="center"/>
    </xf>
    <xf numFmtId="2" fontId="0" fillId="0" borderId="0"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2" fontId="19" fillId="9" borderId="21" xfId="0" applyNumberFormat="1" applyFont="1" applyFill="1" applyBorder="1" applyAlignment="1" applyProtection="1">
      <alignment horizontal="center" vertical="center" wrapText="1"/>
    </xf>
    <xf numFmtId="0" fontId="19" fillId="9" borderId="18" xfId="0" applyNumberFormat="1" applyFont="1" applyFill="1" applyBorder="1" applyAlignment="1" applyProtection="1">
      <alignment horizontal="center" vertical="center" wrapText="1"/>
    </xf>
    <xf numFmtId="0" fontId="19" fillId="12" borderId="21" xfId="0" applyNumberFormat="1" applyFont="1" applyFill="1" applyBorder="1" applyAlignment="1" applyProtection="1">
      <alignment horizontal="center" vertical="center" wrapText="1"/>
      <protection locked="0"/>
    </xf>
    <xf numFmtId="0" fontId="19" fillId="12" borderId="18" xfId="0" applyNumberFormat="1" applyFont="1" applyFill="1" applyBorder="1" applyAlignment="1" applyProtection="1">
      <alignment horizontal="center" vertical="center" wrapText="1"/>
      <protection locked="0"/>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0" xfId="0" applyBorder="1" applyAlignment="1">
      <alignment horizontal="justify" vertical="top" wrapText="1"/>
    </xf>
    <xf numFmtId="0" fontId="0" fillId="0" borderId="0" xfId="0" applyAlignment="1">
      <alignment horizontal="justify" vertical="top" wrapText="1"/>
    </xf>
    <xf numFmtId="0" fontId="1" fillId="0" borderId="0" xfId="0" applyFont="1" applyAlignment="1">
      <alignment horizontal="justify" vertical="top" wrapText="1"/>
    </xf>
    <xf numFmtId="0" fontId="30" fillId="0" borderId="5" xfId="0" applyFont="1" applyBorder="1" applyAlignment="1">
      <alignment horizontal="center" vertical="center" wrapText="1"/>
    </xf>
    <xf numFmtId="0" fontId="10" fillId="0" borderId="0" xfId="0" applyFont="1" applyAlignment="1">
      <alignment horizontal="justify" vertical="top" wrapText="1"/>
    </xf>
    <xf numFmtId="0" fontId="10"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justify" vertical="justify" wrapText="1"/>
    </xf>
    <xf numFmtId="0" fontId="0" fillId="0" borderId="0" xfId="0" applyAlignment="1">
      <alignment horizontal="justify" vertical="center" wrapText="1"/>
    </xf>
    <xf numFmtId="0" fontId="0" fillId="0" borderId="0" xfId="0" applyFont="1" applyAlignment="1">
      <alignment horizontal="justify" vertical="top" wrapText="1"/>
    </xf>
    <xf numFmtId="166" fontId="0" fillId="0" borderId="2" xfId="0" applyNumberFormat="1" applyBorder="1" applyAlignment="1">
      <alignment horizontal="center" vertical="center" wrapText="1"/>
    </xf>
    <xf numFmtId="166" fontId="0" fillId="0" borderId="3" xfId="0" applyNumberFormat="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3" fontId="0" fillId="0" borderId="2" xfId="0" applyNumberFormat="1" applyBorder="1" applyAlignment="1">
      <alignment horizontal="center" vertical="center" wrapText="1"/>
    </xf>
    <xf numFmtId="0" fontId="39"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3" fontId="0" fillId="0" borderId="3" xfId="0" applyNumberFormat="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justify" vertical="center"/>
    </xf>
    <xf numFmtId="14" fontId="0" fillId="0" borderId="0" xfId="0" applyNumberFormat="1" applyAlignment="1">
      <alignment horizontal="left"/>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0" fillId="0" borderId="0" xfId="0" applyAlignment="1">
      <alignment horizontal="center" vertical="center" wrapText="1"/>
    </xf>
    <xf numFmtId="0" fontId="11" fillId="0" borderId="1" xfId="0" applyFont="1" applyFill="1" applyBorder="1" applyAlignment="1">
      <alignment horizontal="center" vertical="center"/>
    </xf>
    <xf numFmtId="0" fontId="1" fillId="0" borderId="0" xfId="0" applyFont="1" applyAlignment="1">
      <alignment horizontal="left" vertical="top" wrapText="1"/>
    </xf>
    <xf numFmtId="0" fontId="0" fillId="0" borderId="0" xfId="0" applyFill="1" applyAlignment="1">
      <alignment horizontal="left" vertical="center" wrapText="1"/>
    </xf>
    <xf numFmtId="17" fontId="19" fillId="0" borderId="1" xfId="0" applyNumberFormat="1" applyFont="1" applyFill="1" applyBorder="1" applyAlignment="1">
      <alignment horizontal="center" vertical="center" wrapText="1"/>
    </xf>
    <xf numFmtId="0" fontId="10" fillId="0" borderId="5" xfId="0" applyFont="1" applyBorder="1" applyAlignment="1">
      <alignment horizontal="center" vertical="center"/>
    </xf>
    <xf numFmtId="0" fontId="27" fillId="0" borderId="0" xfId="0" applyFont="1" applyAlignment="1">
      <alignment horizontal="center" vertical="center"/>
    </xf>
    <xf numFmtId="0" fontId="0" fillId="0" borderId="2"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27" fillId="0" borderId="0" xfId="0" applyFont="1" applyAlignment="1">
      <alignment horizontal="justify" vertical="justify"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pplyAlignment="1">
      <alignment horizontal="center" vertical="center"/>
    </xf>
    <xf numFmtId="0" fontId="15" fillId="0" borderId="0" xfId="0" applyFont="1" applyAlignment="1">
      <alignment horizontal="center" vertical="center" wrapText="1"/>
    </xf>
    <xf numFmtId="0" fontId="10" fillId="0" borderId="0" xfId="0" applyFont="1" applyBorder="1" applyAlignment="1">
      <alignment horizontal="left"/>
    </xf>
    <xf numFmtId="0" fontId="0" fillId="0" borderId="0" xfId="0" applyAlignment="1">
      <alignment horizontal="left" vertical="center"/>
    </xf>
    <xf numFmtId="0" fontId="0" fillId="0" borderId="0" xfId="0" applyAlignment="1">
      <alignment horizontal="left"/>
    </xf>
    <xf numFmtId="0" fontId="36" fillId="0" borderId="5" xfId="0" applyFont="1" applyBorder="1" applyAlignment="1">
      <alignment horizontal="center" vertical="center"/>
    </xf>
    <xf numFmtId="0" fontId="20" fillId="0" borderId="0" xfId="0" applyFont="1" applyAlignment="1">
      <alignment horizontal="center" vertical="center"/>
    </xf>
    <xf numFmtId="2" fontId="13" fillId="0" borderId="0" xfId="0" applyNumberFormat="1" applyFont="1" applyAlignment="1">
      <alignment horizontal="center" vertical="center" wrapText="1"/>
    </xf>
    <xf numFmtId="2" fontId="10" fillId="0" borderId="2" xfId="0" applyNumberFormat="1" applyFont="1" applyBorder="1" applyAlignment="1">
      <alignment horizontal="center" vertical="center"/>
    </xf>
    <xf numFmtId="2" fontId="10" fillId="0" borderId="9" xfId="0" applyNumberFormat="1" applyFont="1" applyBorder="1" applyAlignment="1">
      <alignment horizontal="center" vertical="center"/>
    </xf>
    <xf numFmtId="2" fontId="10" fillId="0" borderId="3" xfId="0" applyNumberFormat="1" applyFont="1" applyBorder="1" applyAlignment="1">
      <alignment horizontal="center" vertical="center"/>
    </xf>
    <xf numFmtId="0" fontId="0" fillId="0" borderId="2" xfId="0" applyNumberFormat="1" applyBorder="1" applyAlignment="1">
      <alignment horizontal="center" vertical="center"/>
    </xf>
    <xf numFmtId="0" fontId="0" fillId="0" borderId="9" xfId="0" applyNumberFormat="1" applyBorder="1" applyAlignment="1">
      <alignment horizontal="center" vertical="center"/>
    </xf>
    <xf numFmtId="0" fontId="0" fillId="0" borderId="3" xfId="0" applyNumberFormat="1" applyBorder="1" applyAlignment="1">
      <alignment horizontal="center" vertical="center"/>
    </xf>
    <xf numFmtId="49" fontId="16" fillId="0" borderId="1" xfId="0" applyNumberFormat="1" applyFont="1" applyBorder="1" applyAlignment="1">
      <alignment horizontal="center" vertical="center" wrapText="1"/>
    </xf>
    <xf numFmtId="0" fontId="0" fillId="0" borderId="1" xfId="0" applyBorder="1" applyAlignment="1">
      <alignment horizontal="justify" vertical="center" wrapText="1"/>
    </xf>
    <xf numFmtId="0" fontId="16" fillId="0" borderId="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3" xfId="0" applyFont="1" applyFill="1" applyBorder="1" applyAlignment="1">
      <alignment horizontal="center" vertical="center" wrapText="1"/>
    </xf>
    <xf numFmtId="49" fontId="38" fillId="0" borderId="1" xfId="0" applyNumberFormat="1" applyFont="1" applyBorder="1" applyAlignment="1">
      <alignment horizontal="center" vertical="center" wrapText="1"/>
    </xf>
    <xf numFmtId="49" fontId="15" fillId="0" borderId="2" xfId="0" applyNumberFormat="1" applyFont="1" applyBorder="1" applyAlignment="1">
      <alignment horizontal="justify" vertical="justify" wrapText="1"/>
    </xf>
    <xf numFmtId="49" fontId="15" fillId="0" borderId="9" xfId="0" applyNumberFormat="1" applyFont="1" applyBorder="1" applyAlignment="1">
      <alignment horizontal="justify" vertical="justify" wrapText="1"/>
    </xf>
    <xf numFmtId="49" fontId="15" fillId="0" borderId="3" xfId="0" applyNumberFormat="1" applyFont="1" applyBorder="1" applyAlignment="1">
      <alignment horizontal="justify" vertical="justify" wrapText="1"/>
    </xf>
    <xf numFmtId="0" fontId="10" fillId="0" borderId="1" xfId="0" applyFont="1" applyBorder="1" applyAlignment="1">
      <alignment horizontal="center" vertical="center"/>
    </xf>
    <xf numFmtId="49" fontId="34" fillId="0" borderId="2" xfId="0" applyNumberFormat="1" applyFont="1" applyBorder="1" applyAlignment="1">
      <alignment horizontal="justify" vertical="center" wrapText="1"/>
    </xf>
    <xf numFmtId="49" fontId="34" fillId="0" borderId="9" xfId="0" applyNumberFormat="1" applyFont="1" applyBorder="1" applyAlignment="1">
      <alignment horizontal="justify" vertical="center" wrapText="1"/>
    </xf>
    <xf numFmtId="49" fontId="34" fillId="0" borderId="3" xfId="0" applyNumberFormat="1" applyFont="1" applyBorder="1" applyAlignment="1">
      <alignment horizontal="justify" vertical="center" wrapText="1"/>
    </xf>
    <xf numFmtId="0" fontId="29" fillId="0" borderId="5" xfId="0" applyFont="1" applyBorder="1" applyAlignment="1">
      <alignment horizontal="center" vertical="center"/>
    </xf>
    <xf numFmtId="2" fontId="10" fillId="0" borderId="1" xfId="0" applyNumberFormat="1" applyFont="1" applyBorder="1" applyAlignment="1">
      <alignment horizontal="center" vertical="center"/>
    </xf>
    <xf numFmtId="0" fontId="45"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10" fillId="0" borderId="1" xfId="0" applyFont="1" applyBorder="1" applyAlignment="1">
      <alignment horizontal="center"/>
    </xf>
    <xf numFmtId="2" fontId="32" fillId="0" borderId="1"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32" fillId="0" borderId="13" xfId="0" applyFont="1" applyBorder="1" applyAlignment="1">
      <alignment horizontal="center" vertical="center" wrapText="1"/>
    </xf>
    <xf numFmtId="0" fontId="34" fillId="0" borderId="1" xfId="0" applyFont="1" applyBorder="1" applyAlignment="1">
      <alignment vertical="center" wrapText="1"/>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49" fontId="15" fillId="0" borderId="10"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0" fontId="21" fillId="0" borderId="15" xfId="0" quotePrefix="1" applyFont="1" applyBorder="1" applyAlignment="1">
      <alignment horizontal="center" vertical="center" wrapText="1"/>
    </xf>
    <xf numFmtId="0" fontId="21" fillId="0" borderId="6" xfId="0" applyFont="1" applyBorder="1" applyAlignment="1">
      <alignment horizontal="center" vertical="center" wrapText="1"/>
    </xf>
    <xf numFmtId="0" fontId="33" fillId="0" borderId="1" xfId="0" applyFont="1" applyBorder="1" applyAlignment="1">
      <alignment horizontal="center" vertical="center" wrapText="1"/>
    </xf>
    <xf numFmtId="49" fontId="34" fillId="0" borderId="1" xfId="0" applyNumberFormat="1" applyFont="1" applyBorder="1" applyAlignment="1">
      <alignment horizontal="left" vertical="justify" wrapText="1"/>
    </xf>
    <xf numFmtId="0" fontId="10" fillId="0" borderId="0" xfId="0" applyFont="1" applyAlignment="1">
      <alignment horizontal="center" vertical="top"/>
    </xf>
    <xf numFmtId="0" fontId="42" fillId="0" borderId="0" xfId="0" applyFont="1" applyAlignment="1">
      <alignment horizontal="left" vertical="top" wrapText="1"/>
    </xf>
    <xf numFmtId="0" fontId="44" fillId="0" borderId="0" xfId="0" applyFont="1" applyAlignment="1">
      <alignment horizontal="left" wrapText="1"/>
    </xf>
    <xf numFmtId="0" fontId="42" fillId="0" borderId="5"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Alignment="1">
      <alignment horizontal="left" vertical="center"/>
    </xf>
    <xf numFmtId="0" fontId="42" fillId="0" borderId="0" xfId="0" applyFont="1" applyBorder="1" applyAlignment="1">
      <alignment horizontal="left" vertical="top" wrapText="1"/>
    </xf>
    <xf numFmtId="0" fontId="42" fillId="0" borderId="5" xfId="0" applyFont="1" applyBorder="1" applyAlignment="1">
      <alignment horizontal="left" vertical="top" wrapText="1"/>
    </xf>
    <xf numFmtId="0" fontId="6" fillId="0" borderId="0" xfId="0" applyFont="1" applyAlignment="1">
      <alignment horizontal="left" vertical="top" wrapText="1"/>
    </xf>
    <xf numFmtId="0" fontId="19" fillId="0" borderId="0" xfId="0" applyFont="1" applyAlignment="1">
      <alignment horizontal="left" vertical="top" wrapText="1"/>
    </xf>
    <xf numFmtId="0" fontId="6"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horizontal="left" vertical="center" wrapText="1"/>
    </xf>
    <xf numFmtId="0" fontId="6" fillId="0" borderId="0" xfId="0" applyNumberFormat="1" applyFont="1" applyAlignment="1">
      <alignment horizontal="justify" vertical="top" wrapText="1"/>
    </xf>
    <xf numFmtId="2" fontId="29" fillId="0" borderId="5" xfId="0" applyNumberFormat="1" applyFont="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justify" vertical="center" wrapText="1"/>
    </xf>
    <xf numFmtId="0" fontId="0" fillId="0" borderId="9" xfId="0" applyBorder="1" applyAlignment="1">
      <alignment horizontal="justify" vertical="center" wrapText="1"/>
    </xf>
    <xf numFmtId="0" fontId="0" fillId="0" borderId="3" xfId="0" applyBorder="1" applyAlignment="1">
      <alignment horizontal="justify" vertical="center" wrapText="1"/>
    </xf>
    <xf numFmtId="165" fontId="0" fillId="0" borderId="1" xfId="0" applyNumberFormat="1" applyBorder="1" applyAlignment="1">
      <alignment horizontal="left" vertical="center" wrapText="1"/>
    </xf>
    <xf numFmtId="0" fontId="0" fillId="0" borderId="1" xfId="0" applyBorder="1" applyAlignment="1">
      <alignment vertical="center" wrapText="1"/>
    </xf>
    <xf numFmtId="0" fontId="46" fillId="0" borderId="0" xfId="0" applyFont="1" applyAlignment="1">
      <alignment horizontal="center" vertical="center" wrapText="1"/>
    </xf>
    <xf numFmtId="0" fontId="0" fillId="0" borderId="1" xfId="0" applyBorder="1" applyAlignment="1">
      <alignment wrapText="1"/>
    </xf>
    <xf numFmtId="0" fontId="0" fillId="0" borderId="1" xfId="0" applyBorder="1" applyAlignment="1">
      <alignment vertical="top"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42" fillId="0" borderId="5" xfId="0" applyFont="1" applyBorder="1" applyAlignment="1">
      <alignment horizontal="left" vertical="center"/>
    </xf>
    <xf numFmtId="0" fontId="42" fillId="0" borderId="0" xfId="0" applyFont="1" applyAlignment="1">
      <alignment horizontal="left" vertical="top"/>
    </xf>
    <xf numFmtId="0" fontId="42" fillId="0" borderId="0" xfId="0" applyFont="1" applyAlignment="1">
      <alignment horizontal="left" vertical="center" wrapText="1"/>
    </xf>
    <xf numFmtId="0" fontId="44" fillId="0" borderId="0" xfId="0" applyFont="1" applyAlignment="1">
      <alignment horizontal="left" vertical="center" wrapText="1"/>
    </xf>
    <xf numFmtId="0" fontId="10" fillId="0" borderId="1" xfId="0" applyFont="1" applyBorder="1" applyAlignment="1">
      <alignment horizontal="left" vertical="center" wrapText="1"/>
    </xf>
    <xf numFmtId="2" fontId="37" fillId="0" borderId="2" xfId="0" applyNumberFormat="1" applyFont="1" applyBorder="1" applyAlignment="1">
      <alignment horizontal="justify" vertical="center" wrapText="1"/>
    </xf>
    <xf numFmtId="0" fontId="37" fillId="0" borderId="9" xfId="0" applyFont="1" applyBorder="1" applyAlignment="1">
      <alignment horizontal="justify" vertical="center" wrapText="1"/>
    </xf>
    <xf numFmtId="0" fontId="37" fillId="0" borderId="3" xfId="0" applyFont="1" applyBorder="1" applyAlignment="1">
      <alignment horizontal="justify" vertical="center" wrapText="1"/>
    </xf>
    <xf numFmtId="0" fontId="0" fillId="0" borderId="1" xfId="0" applyBorder="1" applyAlignment="1">
      <alignment horizontal="left" vertical="center"/>
    </xf>
    <xf numFmtId="2" fontId="37" fillId="0" borderId="1" xfId="0" applyNumberFormat="1" applyFont="1" applyBorder="1" applyAlignment="1">
      <alignment horizontal="left" vertical="center"/>
    </xf>
    <xf numFmtId="0" fontId="37" fillId="0" borderId="1" xfId="0" applyFont="1" applyBorder="1" applyAlignment="1">
      <alignment horizontal="left" vertical="center"/>
    </xf>
    <xf numFmtId="165" fontId="0" fillId="0" borderId="1" xfId="0" applyNumberFormat="1" applyBorder="1" applyAlignment="1">
      <alignment horizontal="left" vertical="center"/>
    </xf>
  </cellXfs>
  <cellStyles count="3">
    <cellStyle name="Hipervínculo" xfId="1" builtinId="8"/>
    <cellStyle name="Moneda" xfId="2" builtinId="4"/>
    <cellStyle name="Normal" xfId="0" builtinId="0"/>
  </cellStyles>
  <dxfs count="0"/>
  <tableStyles count="0" defaultTableStyle="TableStyleMedium2" defaultPivotStyle="PivotStyleLight16"/>
  <colors>
    <mruColors>
      <color rgb="FFFF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51</xdr:row>
      <xdr:rowOff>66675</xdr:rowOff>
    </xdr:from>
    <xdr:to>
      <xdr:col>5</xdr:col>
      <xdr:colOff>85725</xdr:colOff>
      <xdr:row>53</xdr:row>
      <xdr:rowOff>114300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0" y="25355550"/>
          <a:ext cx="16573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238125</xdr:colOff>
      <xdr:row>29</xdr:row>
      <xdr:rowOff>142875</xdr:rowOff>
    </xdr:from>
    <xdr:to>
      <xdr:col>2</xdr:col>
      <xdr:colOff>276225</xdr:colOff>
      <xdr:row>31</xdr:row>
      <xdr:rowOff>114300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753225"/>
          <a:ext cx="16573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26</xdr:row>
      <xdr:rowOff>0</xdr:rowOff>
    </xdr:from>
    <xdr:to>
      <xdr:col>5</xdr:col>
      <xdr:colOff>38100</xdr:colOff>
      <xdr:row>27</xdr:row>
      <xdr:rowOff>95250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8875" y="10496550"/>
          <a:ext cx="16573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114300</xdr:colOff>
      <xdr:row>68</xdr:row>
      <xdr:rowOff>104775</xdr:rowOff>
    </xdr:from>
    <xdr:to>
      <xdr:col>4</xdr:col>
      <xdr:colOff>476250</xdr:colOff>
      <xdr:row>70</xdr:row>
      <xdr:rowOff>152400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0" y="35242500"/>
          <a:ext cx="19812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247650</xdr:colOff>
      <xdr:row>19</xdr:row>
      <xdr:rowOff>57150</xdr:rowOff>
    </xdr:from>
    <xdr:to>
      <xdr:col>5</xdr:col>
      <xdr:colOff>762000</xdr:colOff>
      <xdr:row>21</xdr:row>
      <xdr:rowOff>9525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2275" y="5562600"/>
          <a:ext cx="12668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752475</xdr:colOff>
      <xdr:row>15</xdr:row>
      <xdr:rowOff>171450</xdr:rowOff>
    </xdr:from>
    <xdr:to>
      <xdr:col>4</xdr:col>
      <xdr:colOff>561975</xdr:colOff>
      <xdr:row>18</xdr:row>
      <xdr:rowOff>57150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3962400"/>
          <a:ext cx="1647825"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66675</xdr:colOff>
      <xdr:row>45</xdr:row>
      <xdr:rowOff>85725</xdr:rowOff>
    </xdr:from>
    <xdr:to>
      <xdr:col>6</xdr:col>
      <xdr:colOff>323850</xdr:colOff>
      <xdr:row>47</xdr:row>
      <xdr:rowOff>114300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4150" y="14116050"/>
          <a:ext cx="126682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285750</xdr:colOff>
      <xdr:row>24</xdr:row>
      <xdr:rowOff>152400</xdr:rowOff>
    </xdr:from>
    <xdr:to>
      <xdr:col>5</xdr:col>
      <xdr:colOff>323850</xdr:colOff>
      <xdr:row>26</xdr:row>
      <xdr:rowOff>123825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8305800"/>
          <a:ext cx="16573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61</xdr:row>
      <xdr:rowOff>142875</xdr:rowOff>
    </xdr:from>
    <xdr:to>
      <xdr:col>2</xdr:col>
      <xdr:colOff>114300</xdr:colOff>
      <xdr:row>63</xdr:row>
      <xdr:rowOff>114300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916400"/>
          <a:ext cx="16573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571500</xdr:colOff>
      <xdr:row>25</xdr:row>
      <xdr:rowOff>104775</xdr:rowOff>
    </xdr:from>
    <xdr:to>
      <xdr:col>3</xdr:col>
      <xdr:colOff>2371725</xdr:colOff>
      <xdr:row>27</xdr:row>
      <xdr:rowOff>76200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0" y="5438775"/>
          <a:ext cx="18002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53"/>
  <sheetViews>
    <sheetView topLeftCell="A13" zoomScale="70" zoomScaleNormal="70" workbookViewId="0">
      <selection activeCell="H24" sqref="H24"/>
    </sheetView>
  </sheetViews>
  <sheetFormatPr baseColWidth="10" defaultRowHeight="15.75" x14ac:dyDescent="0.25"/>
  <cols>
    <col min="1" max="1" width="10.85546875" style="125" customWidth="1"/>
    <col min="2" max="2" width="33.140625" style="127" customWidth="1"/>
    <col min="3" max="3" width="46.42578125" style="128" bestFit="1" customWidth="1"/>
    <col min="4" max="4" width="22.5703125" style="115" customWidth="1"/>
    <col min="5" max="5" width="21.42578125" style="115" bestFit="1" customWidth="1"/>
    <col min="6" max="6" width="4.140625" style="85" customWidth="1"/>
    <col min="7" max="7" width="21.7109375" style="85" bestFit="1" customWidth="1"/>
    <col min="8" max="8" width="19.42578125" style="85" customWidth="1"/>
    <col min="9" max="9" width="39" style="85" customWidth="1"/>
    <col min="10" max="10" width="14.85546875" style="85" bestFit="1" customWidth="1"/>
    <col min="11" max="11" width="21" style="85" customWidth="1"/>
    <col min="12" max="12" width="22.140625" style="85" customWidth="1"/>
    <col min="13" max="13" width="8.5703125" style="85" customWidth="1"/>
    <col min="14" max="14" width="21.7109375" style="85" customWidth="1"/>
    <col min="15" max="15" width="24.85546875" style="85" customWidth="1"/>
    <col min="16" max="17" width="11.42578125" style="85"/>
    <col min="18" max="18" width="15.140625" style="85" customWidth="1"/>
    <col min="19" max="23" width="17.42578125" style="85" customWidth="1"/>
    <col min="24" max="24" width="11.42578125" style="85"/>
    <col min="25" max="25" width="15" style="85" bestFit="1" customWidth="1"/>
    <col min="26" max="27" width="11.42578125" style="85"/>
    <col min="28" max="28" width="14.28515625" style="85" bestFit="1" customWidth="1"/>
    <col min="29" max="29" width="21.140625" style="85" bestFit="1" customWidth="1"/>
    <col min="30" max="16384" width="11.42578125" style="85"/>
  </cols>
  <sheetData>
    <row r="2" spans="1:29" ht="15" x14ac:dyDescent="0.25">
      <c r="A2" s="288" t="s">
        <v>0</v>
      </c>
      <c r="B2" s="288"/>
      <c r="C2" s="288"/>
      <c r="D2" s="84"/>
      <c r="E2" s="300" t="s">
        <v>253</v>
      </c>
      <c r="F2" s="300"/>
      <c r="G2" s="300"/>
      <c r="H2" s="300"/>
      <c r="I2" s="300"/>
      <c r="J2" s="85" t="s">
        <v>248</v>
      </c>
    </row>
    <row r="3" spans="1:29" x14ac:dyDescent="0.25">
      <c r="A3" s="86" t="s">
        <v>1</v>
      </c>
      <c r="B3" s="87" t="s">
        <v>2</v>
      </c>
      <c r="C3" s="71" t="s">
        <v>380</v>
      </c>
      <c r="D3" s="88"/>
      <c r="E3" s="301" t="s">
        <v>254</v>
      </c>
      <c r="F3" s="301"/>
      <c r="G3" s="301"/>
      <c r="H3" s="301"/>
      <c r="I3" s="301"/>
      <c r="J3" s="85" t="s">
        <v>249</v>
      </c>
    </row>
    <row r="4" spans="1:29" x14ac:dyDescent="0.25">
      <c r="A4" s="86" t="s">
        <v>3</v>
      </c>
      <c r="B4" s="87" t="s">
        <v>4</v>
      </c>
      <c r="C4" s="72" t="s">
        <v>381</v>
      </c>
      <c r="D4" s="89"/>
      <c r="E4" s="302" t="s">
        <v>255</v>
      </c>
      <c r="F4" s="302"/>
      <c r="G4" s="302"/>
      <c r="H4" s="302"/>
      <c r="I4" s="302"/>
      <c r="J4" s="85" t="s">
        <v>250</v>
      </c>
    </row>
    <row r="5" spans="1:29" x14ac:dyDescent="0.25">
      <c r="A5" s="86" t="s">
        <v>5</v>
      </c>
      <c r="B5" s="87" t="s">
        <v>6</v>
      </c>
      <c r="C5" s="71" t="s">
        <v>382</v>
      </c>
      <c r="D5" s="88"/>
      <c r="E5" s="301" t="s">
        <v>256</v>
      </c>
      <c r="F5" s="301"/>
      <c r="G5" s="301"/>
      <c r="H5" s="301"/>
      <c r="I5" s="301"/>
      <c r="J5" s="85" t="s">
        <v>251</v>
      </c>
    </row>
    <row r="6" spans="1:29" x14ac:dyDescent="0.25">
      <c r="A6" s="86" t="s">
        <v>7</v>
      </c>
      <c r="B6" s="87" t="s">
        <v>8</v>
      </c>
      <c r="C6" s="90" t="str">
        <f>IF(AC17=AB17,O17,(IF(AC17=AB18,O18,IF(AC17=AB19,O19,IF(AC17=AB20,O20,O21)))))</f>
        <v>EDITORIAL LIBROS Y LIBROS S.A L Y L S.A</v>
      </c>
      <c r="D6" s="91"/>
      <c r="E6" s="300" t="s">
        <v>257</v>
      </c>
      <c r="F6" s="300"/>
      <c r="G6" s="300"/>
      <c r="H6" s="300"/>
      <c r="I6" s="300"/>
      <c r="J6" s="85" t="s">
        <v>252</v>
      </c>
    </row>
    <row r="7" spans="1:29" x14ac:dyDescent="0.25">
      <c r="A7" s="86" t="s">
        <v>9</v>
      </c>
      <c r="B7" s="87" t="s">
        <v>10</v>
      </c>
      <c r="C7" s="93" t="str">
        <f>IF(AC17=AB17,U17,(IF(AC17=AB18,U18,IF(AC17=AB19,U19,IF(AC17=AB20,U20,U21)))))</f>
        <v>860.531.396-1</v>
      </c>
      <c r="D7" s="91"/>
      <c r="E7" s="91"/>
      <c r="F7" s="92"/>
    </row>
    <row r="8" spans="1:29" ht="108" customHeight="1" x14ac:dyDescent="0.25">
      <c r="A8" s="86" t="s">
        <v>11</v>
      </c>
      <c r="B8" s="87" t="s">
        <v>136</v>
      </c>
      <c r="C8" s="150" t="s">
        <v>352</v>
      </c>
      <c r="D8" s="162" t="s">
        <v>247</v>
      </c>
      <c r="E8" s="299" t="s">
        <v>353</v>
      </c>
      <c r="F8" s="299"/>
      <c r="G8" s="299"/>
      <c r="H8" s="299"/>
      <c r="I8" s="299"/>
      <c r="J8" s="94" t="s">
        <v>12</v>
      </c>
    </row>
    <row r="9" spans="1:29" ht="27.75" customHeight="1" x14ac:dyDescent="0.25">
      <c r="A9" s="86" t="s">
        <v>13</v>
      </c>
      <c r="B9" s="87" t="s">
        <v>34</v>
      </c>
      <c r="C9" s="90">
        <f>IF(AC17=AB17,W17,(IF(AC17=AB18,W18,IF(AC17=AB19,W19,IF(AC17=AB20,W20,W21)))))</f>
        <v>17240000</v>
      </c>
      <c r="D9" s="95"/>
      <c r="E9" s="95"/>
      <c r="F9" s="92"/>
      <c r="G9" s="99"/>
      <c r="H9" s="200">
        <f>IF(C28="SI",(IF(C29="NO",(IF(C30="SI",(IF(C31="NO",(IF(C32="NO",(IF(C33="NO",(IF(C34="NO",(IF(I14&gt;=D30,(I14*E30), (0))),(0))),(0))),(0))),(0))),(0))),(0))),(IF(C28="NO",(IF(C29="NO",(IF(C30="SI",(IF(C31="NO",(IF(C32="NO",(IF(C33="NO",(IF(C34="NO",(IF(I14&gt;=D30,(I14*G30), (0))),(0))),(0))),(0))),(0))),(0))),(0))),(0))))</f>
        <v>431000</v>
      </c>
      <c r="I9" s="198" t="s">
        <v>316</v>
      </c>
      <c r="J9" s="97">
        <f>+MROUND(H9,1000)</f>
        <v>431000</v>
      </c>
      <c r="K9"/>
    </row>
    <row r="10" spans="1:29" x14ac:dyDescent="0.25">
      <c r="A10" s="86" t="s">
        <v>14</v>
      </c>
      <c r="B10" s="87" t="s">
        <v>15</v>
      </c>
      <c r="C10" s="98">
        <f>+K18</f>
        <v>16809000</v>
      </c>
      <c r="D10" s="95"/>
      <c r="E10" s="95"/>
      <c r="F10" s="92"/>
      <c r="G10" s="193"/>
      <c r="H10" s="201">
        <f>IF(C28="SI",(IF(C29="SI",(IF(C30="NO",(IF(C31="NO",(IF(C32="NO",(IF(C33="NO",(IF(C34="NO",(IF(I14&gt;=D30,(I14*E29), (0))),(0))),(0))),(0))),(0))),(0))),(0))),(IF(C28="NO",(IF(C29="SI",(IF(C30="NO",(IF(C31="NO",(IF(C32="NO",(IF(C33="NO",(IF(C34="NO",(IF(I14&gt;=D30,(I14*G29), (0))),(0))),(0))),(0))),(0))),(0))),(0))),(0))))</f>
        <v>0</v>
      </c>
      <c r="I10" s="195" t="s">
        <v>317</v>
      </c>
      <c r="J10" s="97">
        <f>+MROUND(H10,1000)</f>
        <v>0</v>
      </c>
      <c r="K10"/>
    </row>
    <row r="11" spans="1:29" x14ac:dyDescent="0.25">
      <c r="A11" s="86" t="s">
        <v>16</v>
      </c>
      <c r="B11" s="87" t="s">
        <v>17</v>
      </c>
      <c r="C11" s="71" t="s">
        <v>383</v>
      </c>
      <c r="D11" s="91" t="s">
        <v>240</v>
      </c>
      <c r="E11" s="91"/>
      <c r="F11" s="92"/>
      <c r="G11" s="99"/>
      <c r="H11" s="202">
        <f>IF(I18&gt;=D30, I15*0.15,0)</f>
        <v>0</v>
      </c>
      <c r="I11" s="196" t="s">
        <v>18</v>
      </c>
      <c r="J11" s="97">
        <f>+MROUND(H11,1000)</f>
        <v>0</v>
      </c>
      <c r="K11"/>
    </row>
    <row r="12" spans="1:29" ht="31.5" customHeight="1" x14ac:dyDescent="0.25">
      <c r="A12" s="86" t="s">
        <v>19</v>
      </c>
      <c r="B12" s="87" t="s">
        <v>137</v>
      </c>
      <c r="C12" s="98">
        <f>+K12</f>
        <v>0</v>
      </c>
      <c r="D12" s="95"/>
      <c r="E12" s="95"/>
      <c r="F12" s="92"/>
      <c r="G12" s="99"/>
      <c r="H12" s="203">
        <f>IF(C28="SI",(IF(C29="NO",(IF(C30="NO",(IF(C31="SI",(IF(C32="NO",(IF(C33="NO",(IF(C34="NO",(IF(I14&gt;=D31,(I14*E31), (0))),(0))),(0))),(0))),(0))),(0))),(0))),(IF(C28="NO",(IF(C29="NO",(IF(C30="NO",(IF(C31="SI",(IF(C32="NO",(IF(C33="NO",(IF(C34="NO",(IF(I14&gt;=D31,(I14*G31), (0))),(0))),(0))),(0))),(0))),(0))),(0))),(0))))+IF(C28="SI",(IF(C29="NO",(IF(C30="NO",(IF(C31="NO",(IF(C32="SI",(IF(C33="NO",(IF(C34="NO",(IF(I14&gt;=D32,(I14*E32), (0))),(0))),(0))),(0))),(0))),(0))),(0))),(IF(C28="NO",(IF(C29="NO",(IF(C30="NO",(IF(C31="NO",(IF(C32="SI",(IF(C33="NO",(IF(C34="NO",(IF(I14&gt;=D32,(I14*G32), (0))),(0))),(0))),(0))),(0))),(0))),(0))),(0))))+IF(C28="SI",(IF(C29="NO",(IF(C30="NO",(IF(C31="NO",(IF(C32="NO",(IF(C33="SI",(IF(C34="NO",(IF(I14&gt;=D33,(I14*E33), (0))),(0))),(0))),(0))),(0))),(0))),(0))),(IF(C28="NO",(IF(C29="NO",(IF(C30="NO",(IF(C31="NO",(IF(C32="NO",(IF(C33="SI",(IF(C34="NO",(IF(I14&gt;=D33,(I14*G33), (0))),(0))),(0))),(0))),(0))),(0))),(0))),(0))))</f>
        <v>0</v>
      </c>
      <c r="I12" s="197" t="s">
        <v>318</v>
      </c>
      <c r="J12" s="97">
        <f>+MROUND(H12,1000)</f>
        <v>0</v>
      </c>
      <c r="K12"/>
    </row>
    <row r="13" spans="1:29" ht="32.25" customHeight="1" x14ac:dyDescent="0.25">
      <c r="A13" s="86" t="s">
        <v>20</v>
      </c>
      <c r="B13" s="87" t="s">
        <v>21</v>
      </c>
      <c r="C13" s="100"/>
      <c r="D13" s="91"/>
      <c r="E13" s="91"/>
      <c r="F13" s="92"/>
      <c r="G13" s="194"/>
      <c r="H13" s="204">
        <f>IF(C28="SI",(IF(C29="NO",(IF(C30="NO",(IF(C31="NO",(IF(C32="NO",(IF(C33="NO",(IF(C34="SI",(IF(I14&gt;=D34,((I14*E34)+(I14*H29)), (0))),(0))),(0))),(0))),(0))),(0))),(0))),(IF(C28="NO",(IF(C29="NO",(IF(C30="NO",(IF(C31="NO",(IF(C32="NO",(IF(C33="NO",(IF(C34="SI",(IF(I14&gt;=D34,((I14*G34)+(I14*H29)), (0))),(0))),(0))),(0))),(0))),(0))),(0))),(0))))</f>
        <v>0</v>
      </c>
      <c r="I13" s="197" t="s">
        <v>319</v>
      </c>
      <c r="J13" s="97">
        <f>+MROUND(H13,1000)</f>
        <v>0</v>
      </c>
      <c r="K13"/>
      <c r="W13" s="92"/>
    </row>
    <row r="14" spans="1:29" x14ac:dyDescent="0.25">
      <c r="A14" s="86" t="s">
        <v>22</v>
      </c>
      <c r="B14" s="87"/>
      <c r="C14" s="100"/>
      <c r="D14" s="91"/>
      <c r="E14" s="91"/>
      <c r="F14" s="92"/>
      <c r="G14" s="289" t="s">
        <v>23</v>
      </c>
      <c r="H14" s="289"/>
      <c r="I14" s="73">
        <v>17240000</v>
      </c>
      <c r="W14" s="92" t="s">
        <v>261</v>
      </c>
    </row>
    <row r="15" spans="1:29" ht="14.45" customHeight="1" x14ac:dyDescent="0.25">
      <c r="A15" s="86" t="s">
        <v>24</v>
      </c>
      <c r="B15" s="87" t="s">
        <v>25</v>
      </c>
      <c r="C15" s="100" t="s">
        <v>185</v>
      </c>
      <c r="D15" s="91"/>
      <c r="E15" s="91"/>
      <c r="F15" s="101"/>
      <c r="G15" s="290" t="s">
        <v>26</v>
      </c>
      <c r="H15" s="290"/>
      <c r="I15" s="152"/>
      <c r="J15" s="102"/>
      <c r="K15" s="102"/>
      <c r="N15" s="224" t="s">
        <v>27</v>
      </c>
      <c r="O15" s="224"/>
      <c r="P15" s="224"/>
      <c r="Q15" s="224"/>
      <c r="R15" s="224"/>
      <c r="S15" s="224"/>
      <c r="T15" s="224"/>
      <c r="U15" s="224"/>
      <c r="V15" s="224"/>
      <c r="W15" s="224"/>
      <c r="X15" s="224"/>
      <c r="Y15" s="224"/>
      <c r="Z15" s="224"/>
      <c r="AA15" s="224"/>
      <c r="AB15" s="224"/>
      <c r="AC15" s="224"/>
    </row>
    <row r="16" spans="1:29" ht="15.75" customHeight="1" x14ac:dyDescent="0.25">
      <c r="A16" s="86" t="s">
        <v>28</v>
      </c>
      <c r="B16" s="103" t="s">
        <v>29</v>
      </c>
      <c r="C16" s="100" t="s">
        <v>183</v>
      </c>
      <c r="D16" s="91"/>
      <c r="E16" s="91"/>
      <c r="F16" s="101"/>
      <c r="G16" s="283" t="s">
        <v>30</v>
      </c>
      <c r="H16" s="283"/>
      <c r="I16" s="104">
        <f>+I14+I15</f>
        <v>17240000</v>
      </c>
      <c r="J16" s="102"/>
      <c r="K16" s="102"/>
      <c r="N16" s="105" t="s">
        <v>31</v>
      </c>
      <c r="O16" s="224" t="s">
        <v>32</v>
      </c>
      <c r="P16" s="224"/>
      <c r="Q16" s="224"/>
      <c r="R16" s="224"/>
      <c r="S16" s="224"/>
      <c r="T16" s="224"/>
      <c r="U16" s="225" t="s">
        <v>33</v>
      </c>
      <c r="V16" s="225"/>
      <c r="W16" s="106" t="s">
        <v>34</v>
      </c>
      <c r="X16" s="107" t="s">
        <v>35</v>
      </c>
      <c r="Y16" s="107" t="s">
        <v>36</v>
      </c>
      <c r="Z16" s="108" t="s">
        <v>37</v>
      </c>
      <c r="AA16" s="108" t="s">
        <v>38</v>
      </c>
      <c r="AB16" s="107" t="s">
        <v>39</v>
      </c>
      <c r="AC16" s="109" t="s">
        <v>40</v>
      </c>
    </row>
    <row r="17" spans="1:29" ht="15" customHeight="1" x14ac:dyDescent="0.25">
      <c r="A17" s="86" t="s">
        <v>41</v>
      </c>
      <c r="B17" s="87" t="s">
        <v>42</v>
      </c>
      <c r="C17" s="74" t="s">
        <v>378</v>
      </c>
      <c r="D17" s="91" t="s">
        <v>191</v>
      </c>
      <c r="E17" s="91"/>
      <c r="F17" s="101"/>
      <c r="G17" s="286" t="s">
        <v>43</v>
      </c>
      <c r="H17" s="286"/>
      <c r="I17" s="75"/>
      <c r="J17" s="102"/>
      <c r="K17" s="192">
        <f>SUM(J9:J13)</f>
        <v>431000</v>
      </c>
      <c r="L17" s="96" t="s">
        <v>196</v>
      </c>
      <c r="N17" s="111">
        <v>1</v>
      </c>
      <c r="O17" s="226" t="s">
        <v>389</v>
      </c>
      <c r="P17" s="227"/>
      <c r="Q17" s="227"/>
      <c r="R17" s="227"/>
      <c r="S17" s="227"/>
      <c r="T17" s="227"/>
      <c r="U17" s="228" t="s">
        <v>390</v>
      </c>
      <c r="V17" s="229"/>
      <c r="W17" s="76">
        <v>17240000</v>
      </c>
      <c r="X17" s="77">
        <v>21</v>
      </c>
      <c r="Y17" s="77" t="s">
        <v>385</v>
      </c>
      <c r="Z17" s="77">
        <v>70</v>
      </c>
      <c r="AA17" s="77">
        <v>30</v>
      </c>
      <c r="AB17" s="112">
        <f>Z17+AA17</f>
        <v>100</v>
      </c>
      <c r="AC17" s="284">
        <f>MAX(AB17,AB18,AB19,AB20,AB21)</f>
        <v>100</v>
      </c>
    </row>
    <row r="18" spans="1:29" ht="15" customHeight="1" x14ac:dyDescent="0.25">
      <c r="A18" s="86" t="s">
        <v>44</v>
      </c>
      <c r="B18" s="87" t="s">
        <v>205</v>
      </c>
      <c r="C18" s="216" t="s">
        <v>391</v>
      </c>
      <c r="D18" s="91" t="s">
        <v>186</v>
      </c>
      <c r="E18" s="91"/>
      <c r="F18" s="101"/>
      <c r="G18" s="285" t="s">
        <v>45</v>
      </c>
      <c r="H18" s="285"/>
      <c r="I18" s="113">
        <f>+I16+I17</f>
        <v>17240000</v>
      </c>
      <c r="J18" s="102"/>
      <c r="K18" s="110">
        <f>+I18-K17</f>
        <v>16809000</v>
      </c>
      <c r="L18" s="96" t="s">
        <v>197</v>
      </c>
      <c r="N18" s="111">
        <v>2</v>
      </c>
      <c r="O18" s="226"/>
      <c r="P18" s="227"/>
      <c r="Q18" s="227"/>
      <c r="R18" s="227"/>
      <c r="S18" s="227"/>
      <c r="T18" s="230"/>
      <c r="U18" s="228"/>
      <c r="V18" s="229"/>
      <c r="W18" s="76"/>
      <c r="X18" s="78"/>
      <c r="Y18" s="77"/>
      <c r="Z18" s="77"/>
      <c r="AA18" s="77"/>
      <c r="AB18" s="112">
        <f>Z18+AA18</f>
        <v>0</v>
      </c>
      <c r="AC18" s="284"/>
    </row>
    <row r="19" spans="1:29" x14ac:dyDescent="0.25">
      <c r="A19" s="86" t="s">
        <v>46</v>
      </c>
      <c r="B19" s="87" t="s">
        <v>204</v>
      </c>
      <c r="C19" s="163" t="str">
        <f>+C18</f>
        <v>005-03-2020</v>
      </c>
      <c r="D19" s="114" t="s">
        <v>186</v>
      </c>
      <c r="K19" s="110">
        <f>+K17+K18</f>
        <v>17240000</v>
      </c>
      <c r="L19" s="96" t="s">
        <v>198</v>
      </c>
      <c r="N19" s="111">
        <v>3</v>
      </c>
      <c r="O19" s="231"/>
      <c r="P19" s="227"/>
      <c r="Q19" s="227"/>
      <c r="R19" s="227"/>
      <c r="S19" s="227"/>
      <c r="T19" s="230"/>
      <c r="U19" s="232"/>
      <c r="V19" s="229"/>
      <c r="W19" s="76"/>
      <c r="X19" s="78"/>
      <c r="Y19" s="77"/>
      <c r="Z19" s="77"/>
      <c r="AA19" s="77"/>
      <c r="AB19" s="112">
        <f>Z19+AA19</f>
        <v>0</v>
      </c>
      <c r="AC19" s="284"/>
    </row>
    <row r="20" spans="1:29" x14ac:dyDescent="0.25">
      <c r="A20" s="86" t="s">
        <v>47</v>
      </c>
      <c r="B20" s="87" t="s">
        <v>48</v>
      </c>
      <c r="C20" s="80">
        <v>17374000</v>
      </c>
      <c r="D20" s="91" t="s">
        <v>190</v>
      </c>
      <c r="E20" s="88"/>
      <c r="N20" s="116">
        <v>4</v>
      </c>
      <c r="O20" s="231"/>
      <c r="P20" s="227"/>
      <c r="Q20" s="227"/>
      <c r="R20" s="227"/>
      <c r="S20" s="227"/>
      <c r="T20" s="230"/>
      <c r="U20" s="232"/>
      <c r="V20" s="229"/>
      <c r="W20" s="81"/>
      <c r="X20" s="78"/>
      <c r="Y20" s="77"/>
      <c r="Z20" s="77"/>
      <c r="AA20" s="77"/>
      <c r="AB20" s="112">
        <f>Z20+AA20</f>
        <v>0</v>
      </c>
      <c r="AC20" s="284"/>
    </row>
    <row r="21" spans="1:29" x14ac:dyDescent="0.25">
      <c r="A21" s="86" t="s">
        <v>49</v>
      </c>
      <c r="B21" s="117" t="s">
        <v>50</v>
      </c>
      <c r="C21" s="79" t="s">
        <v>384</v>
      </c>
      <c r="D21" s="91" t="s">
        <v>233</v>
      </c>
      <c r="E21" s="88"/>
      <c r="N21" s="116">
        <v>5</v>
      </c>
      <c r="O21" s="231"/>
      <c r="P21" s="227"/>
      <c r="Q21" s="227"/>
      <c r="R21" s="227"/>
      <c r="S21" s="227"/>
      <c r="T21" s="230"/>
      <c r="U21" s="287"/>
      <c r="V21" s="287"/>
      <c r="W21" s="76"/>
      <c r="X21" s="77"/>
      <c r="Y21" s="77"/>
      <c r="Z21" s="77"/>
      <c r="AA21" s="77"/>
      <c r="AB21" s="112">
        <f>Z21+AA21</f>
        <v>0</v>
      </c>
      <c r="AC21" s="284"/>
    </row>
    <row r="22" spans="1:29" x14ac:dyDescent="0.25">
      <c r="A22" s="86" t="s">
        <v>51</v>
      </c>
      <c r="B22" s="87" t="s">
        <v>143</v>
      </c>
      <c r="C22" s="71" t="s">
        <v>354</v>
      </c>
      <c r="D22" s="91" t="s">
        <v>201</v>
      </c>
      <c r="E22" s="88"/>
      <c r="N22" s="171"/>
      <c r="O22"/>
      <c r="P22"/>
      <c r="Q22"/>
      <c r="R22"/>
      <c r="S22"/>
      <c r="T22"/>
      <c r="U22"/>
      <c r="V22"/>
      <c r="W22"/>
    </row>
    <row r="23" spans="1:29" x14ac:dyDescent="0.25">
      <c r="A23" s="86" t="s">
        <v>52</v>
      </c>
      <c r="B23" s="87" t="s">
        <v>53</v>
      </c>
      <c r="C23" s="100" t="str">
        <f>+J45</f>
        <v>30 de abril de 2020</v>
      </c>
      <c r="D23" s="88"/>
      <c r="E23" s="88"/>
      <c r="N23" s="171"/>
      <c r="O23"/>
      <c r="P23"/>
      <c r="Q23"/>
      <c r="R23"/>
      <c r="S23"/>
      <c r="T23"/>
      <c r="U23"/>
      <c r="V23"/>
      <c r="W23"/>
    </row>
    <row r="24" spans="1:29" ht="15.75" customHeight="1" x14ac:dyDescent="0.25">
      <c r="A24" s="86" t="s">
        <v>55</v>
      </c>
      <c r="B24" s="87" t="s">
        <v>207</v>
      </c>
      <c r="C24" s="163" t="str">
        <f>+C18</f>
        <v>005-03-2020</v>
      </c>
      <c r="D24" s="114" t="s">
        <v>186</v>
      </c>
      <c r="H24" s="118"/>
      <c r="I24" s="92"/>
      <c r="N24" s="220" t="s">
        <v>262</v>
      </c>
      <c r="O24" s="220"/>
      <c r="P24" s="220"/>
      <c r="Q24" s="220"/>
      <c r="R24" s="220"/>
      <c r="S24" s="220"/>
      <c r="T24" s="220"/>
      <c r="U24" s="220"/>
      <c r="V24" s="220"/>
      <c r="W24" s="220"/>
    </row>
    <row r="25" spans="1:29" ht="15" customHeight="1" x14ac:dyDescent="0.25">
      <c r="A25" s="86" t="s">
        <v>62</v>
      </c>
      <c r="B25" s="87" t="s">
        <v>138</v>
      </c>
      <c r="C25" s="72" t="s">
        <v>377</v>
      </c>
      <c r="D25" s="114" t="s">
        <v>187</v>
      </c>
      <c r="E25" s="88"/>
      <c r="H25" s="92"/>
      <c r="I25" s="92"/>
      <c r="N25" s="105" t="s">
        <v>31</v>
      </c>
      <c r="O25" s="224" t="s">
        <v>32</v>
      </c>
      <c r="P25" s="224"/>
      <c r="Q25" s="224"/>
      <c r="R25" s="224"/>
      <c r="S25" s="224"/>
      <c r="T25" s="224"/>
      <c r="U25" s="225" t="s">
        <v>33</v>
      </c>
      <c r="V25" s="225"/>
      <c r="W25" s="166" t="s">
        <v>34</v>
      </c>
    </row>
    <row r="26" spans="1:29" x14ac:dyDescent="0.25">
      <c r="A26" s="86" t="s">
        <v>64</v>
      </c>
      <c r="B26" s="87" t="s">
        <v>65</v>
      </c>
      <c r="C26" s="74" t="s">
        <v>371</v>
      </c>
      <c r="D26" s="91" t="s">
        <v>189</v>
      </c>
      <c r="E26" s="88"/>
      <c r="H26" s="92"/>
      <c r="I26" s="92"/>
      <c r="N26" s="111">
        <v>1</v>
      </c>
      <c r="O26" s="226" t="s">
        <v>355</v>
      </c>
      <c r="P26" s="227"/>
      <c r="Q26" s="227"/>
      <c r="R26" s="227"/>
      <c r="S26" s="227"/>
      <c r="T26" s="227"/>
      <c r="U26" s="228"/>
      <c r="V26" s="229"/>
      <c r="W26" s="76">
        <v>17422000</v>
      </c>
    </row>
    <row r="27" spans="1:29" ht="15.75" customHeight="1" x14ac:dyDescent="0.25">
      <c r="A27" s="86" t="s">
        <v>66</v>
      </c>
      <c r="B27" s="87" t="s">
        <v>212</v>
      </c>
      <c r="C27" s="163" t="str">
        <f>+C18</f>
        <v>005-03-2020</v>
      </c>
      <c r="D27" s="114" t="s">
        <v>186</v>
      </c>
      <c r="E27" s="88"/>
      <c r="H27" s="122"/>
      <c r="I27" s="92"/>
      <c r="N27" s="111">
        <v>2</v>
      </c>
      <c r="O27" s="226" t="s">
        <v>356</v>
      </c>
      <c r="P27" s="227"/>
      <c r="Q27" s="227"/>
      <c r="R27" s="227"/>
      <c r="S27" s="227"/>
      <c r="T27" s="230"/>
      <c r="U27" s="228"/>
      <c r="V27" s="229"/>
      <c r="W27" s="76">
        <v>17240000</v>
      </c>
    </row>
    <row r="28" spans="1:29" ht="30" x14ac:dyDescent="0.25">
      <c r="A28" s="86" t="s">
        <v>67</v>
      </c>
      <c r="B28" s="117" t="s">
        <v>68</v>
      </c>
      <c r="C28" s="199" t="s">
        <v>385</v>
      </c>
      <c r="D28" s="184" t="s">
        <v>312</v>
      </c>
      <c r="E28" s="186" t="s">
        <v>313</v>
      </c>
      <c r="F28" s="187"/>
      <c r="G28" s="186" t="s">
        <v>314</v>
      </c>
      <c r="H28" s="186" t="s">
        <v>315</v>
      </c>
      <c r="I28" s="92"/>
      <c r="N28" s="111">
        <v>3</v>
      </c>
      <c r="O28" s="231" t="s">
        <v>357</v>
      </c>
      <c r="P28" s="227"/>
      <c r="Q28" s="227"/>
      <c r="R28" s="227"/>
      <c r="S28" s="227"/>
      <c r="T28" s="230"/>
      <c r="U28" s="232" t="s">
        <v>358</v>
      </c>
      <c r="V28" s="229"/>
      <c r="W28" s="76">
        <v>17460000</v>
      </c>
    </row>
    <row r="29" spans="1:29" ht="15.75" customHeight="1" x14ac:dyDescent="0.25">
      <c r="A29" s="86" t="s">
        <v>70</v>
      </c>
      <c r="B29" s="117" t="s">
        <v>71</v>
      </c>
      <c r="C29" s="71" t="s">
        <v>386</v>
      </c>
      <c r="D29" s="185">
        <v>142000</v>
      </c>
      <c r="E29" s="188">
        <v>0.04</v>
      </c>
      <c r="F29" s="189"/>
      <c r="G29" s="190">
        <v>0.06</v>
      </c>
      <c r="H29" s="191">
        <v>0.05</v>
      </c>
      <c r="I29" s="92"/>
      <c r="N29" s="116">
        <v>4</v>
      </c>
      <c r="O29" s="231"/>
      <c r="P29" s="227"/>
      <c r="Q29" s="227"/>
      <c r="R29" s="227"/>
      <c r="S29" s="227"/>
      <c r="T29" s="230"/>
      <c r="U29" s="232"/>
      <c r="V29" s="229"/>
      <c r="W29" s="81"/>
    </row>
    <row r="30" spans="1:29" ht="15.75" customHeight="1" x14ac:dyDescent="0.25">
      <c r="A30" s="86" t="s">
        <v>73</v>
      </c>
      <c r="B30" s="117" t="s">
        <v>302</v>
      </c>
      <c r="C30" s="71" t="s">
        <v>385</v>
      </c>
      <c r="D30" s="185">
        <v>961000</v>
      </c>
      <c r="E30" s="188">
        <v>2.5000000000000001E-2</v>
      </c>
      <c r="F30" s="189"/>
      <c r="G30" s="190">
        <v>3.5000000000000003E-2</v>
      </c>
      <c r="H30" s="122"/>
      <c r="I30" s="92"/>
      <c r="N30" s="171"/>
      <c r="O30" s="205"/>
      <c r="P30" s="206"/>
      <c r="Q30" s="206"/>
      <c r="R30" s="206"/>
      <c r="S30" s="206"/>
      <c r="T30" s="206"/>
      <c r="U30" s="207"/>
      <c r="V30" s="207"/>
      <c r="W30" s="208"/>
    </row>
    <row r="31" spans="1:29" ht="15.75" customHeight="1" x14ac:dyDescent="0.25">
      <c r="A31" s="86" t="s">
        <v>74</v>
      </c>
      <c r="B31" s="117" t="s">
        <v>307</v>
      </c>
      <c r="C31" s="71" t="s">
        <v>386</v>
      </c>
      <c r="D31" s="185">
        <v>961000</v>
      </c>
      <c r="E31" s="188">
        <v>3.5000000000000003E-2</v>
      </c>
      <c r="F31" s="189"/>
      <c r="G31" s="190">
        <v>3.5000000000000003E-2</v>
      </c>
      <c r="H31" s="122"/>
      <c r="I31" s="92"/>
      <c r="N31" s="171"/>
      <c r="O31" s="205"/>
      <c r="P31" s="206"/>
      <c r="Q31" s="206"/>
      <c r="R31" s="206"/>
      <c r="S31" s="206"/>
      <c r="T31" s="206"/>
      <c r="U31" s="207"/>
      <c r="V31" s="207"/>
      <c r="W31" s="208"/>
    </row>
    <row r="32" spans="1:29" ht="15.75" customHeight="1" x14ac:dyDescent="0.25">
      <c r="A32" s="86" t="s">
        <v>76</v>
      </c>
      <c r="B32" s="117" t="s">
        <v>308</v>
      </c>
      <c r="C32" s="71" t="s">
        <v>386</v>
      </c>
      <c r="D32" s="185">
        <v>0</v>
      </c>
      <c r="E32" s="188">
        <v>0.1</v>
      </c>
      <c r="F32" s="189"/>
      <c r="G32" s="190">
        <v>0.1</v>
      </c>
      <c r="H32" s="122"/>
      <c r="I32" s="92"/>
      <c r="N32" s="171"/>
      <c r="O32" s="205"/>
      <c r="P32" s="206"/>
      <c r="Q32" s="206"/>
      <c r="R32" s="206"/>
      <c r="S32" s="206"/>
      <c r="T32" s="206"/>
      <c r="U32" s="207"/>
      <c r="V32" s="207"/>
      <c r="W32" s="208"/>
    </row>
    <row r="33" spans="1:23" ht="15.75" customHeight="1" x14ac:dyDescent="0.25">
      <c r="A33" s="86" t="s">
        <v>77</v>
      </c>
      <c r="B33" s="117" t="s">
        <v>310</v>
      </c>
      <c r="C33" s="71" t="s">
        <v>386</v>
      </c>
      <c r="D33" s="185">
        <v>0</v>
      </c>
      <c r="E33" s="188">
        <v>3.5000000000000003E-2</v>
      </c>
      <c r="F33" s="189"/>
      <c r="G33" s="190">
        <v>3.5000000000000003E-2</v>
      </c>
      <c r="H33" s="122"/>
      <c r="I33" s="92"/>
      <c r="N33" s="171"/>
      <c r="O33" s="205"/>
      <c r="P33" s="206"/>
      <c r="Q33" s="206"/>
      <c r="R33" s="206"/>
      <c r="S33" s="206"/>
      <c r="T33" s="206"/>
      <c r="U33" s="207"/>
      <c r="V33" s="207"/>
      <c r="W33" s="208"/>
    </row>
    <row r="34" spans="1:23" ht="15.75" customHeight="1" x14ac:dyDescent="0.25">
      <c r="A34" s="86" t="s">
        <v>78</v>
      </c>
      <c r="B34" s="117" t="s">
        <v>311</v>
      </c>
      <c r="C34" s="71" t="s">
        <v>386</v>
      </c>
      <c r="D34" s="185">
        <v>0</v>
      </c>
      <c r="E34" s="188">
        <v>0.02</v>
      </c>
      <c r="F34" s="189"/>
      <c r="G34" s="190">
        <v>0.02</v>
      </c>
      <c r="H34" s="122"/>
      <c r="I34" s="92"/>
      <c r="N34" s="171"/>
      <c r="O34" s="205"/>
      <c r="P34" s="206"/>
      <c r="Q34" s="206"/>
      <c r="R34" s="206"/>
      <c r="S34" s="206"/>
      <c r="T34" s="206"/>
      <c r="U34" s="207"/>
      <c r="V34" s="207"/>
      <c r="W34" s="208"/>
    </row>
    <row r="35" spans="1:23" ht="29.1" customHeight="1" x14ac:dyDescent="0.25">
      <c r="A35" s="86" t="s">
        <v>79</v>
      </c>
      <c r="B35" s="87" t="s">
        <v>206</v>
      </c>
      <c r="C35" s="165" t="str">
        <f>+C18</f>
        <v>005-03-2020</v>
      </c>
      <c r="D35" s="114" t="s">
        <v>186</v>
      </c>
      <c r="E35" s="88"/>
      <c r="H35" s="92"/>
      <c r="N35" s="171"/>
      <c r="O35"/>
      <c r="P35"/>
      <c r="Q35"/>
      <c r="R35"/>
      <c r="S35"/>
      <c r="T35"/>
      <c r="U35"/>
      <c r="V35"/>
      <c r="W35"/>
    </row>
    <row r="36" spans="1:23" ht="29.1" customHeight="1" x14ac:dyDescent="0.25">
      <c r="A36" s="86" t="s">
        <v>81</v>
      </c>
      <c r="B36" s="87" t="s">
        <v>157</v>
      </c>
      <c r="C36" s="124" t="str">
        <f>+C17</f>
        <v>15 de mayo de  2020</v>
      </c>
      <c r="D36" s="114" t="s">
        <v>199</v>
      </c>
      <c r="E36" s="88"/>
      <c r="H36" s="92"/>
      <c r="N36" s="250" t="s">
        <v>54</v>
      </c>
      <c r="O36" s="251"/>
      <c r="P36" s="251"/>
      <c r="Q36" s="251"/>
      <c r="R36" s="251"/>
      <c r="S36" s="251"/>
      <c r="T36" s="251"/>
      <c r="U36" s="251"/>
      <c r="V36" s="251"/>
      <c r="W36" s="252"/>
    </row>
    <row r="37" spans="1:23" ht="29.1" customHeight="1" x14ac:dyDescent="0.25">
      <c r="A37" s="86" t="s">
        <v>85</v>
      </c>
      <c r="B37" s="87" t="s">
        <v>162</v>
      </c>
      <c r="C37" s="71" t="s">
        <v>379</v>
      </c>
      <c r="D37" s="91" t="s">
        <v>188</v>
      </c>
      <c r="E37" s="88"/>
      <c r="H37" s="92"/>
      <c r="I37" s="92"/>
      <c r="N37" s="262" t="s">
        <v>56</v>
      </c>
      <c r="O37" s="263"/>
      <c r="P37" s="263"/>
      <c r="Q37" s="263"/>
      <c r="R37" s="264"/>
      <c r="S37" s="119" t="s">
        <v>57</v>
      </c>
      <c r="T37" s="119" t="s">
        <v>58</v>
      </c>
      <c r="U37" s="119" t="s">
        <v>59</v>
      </c>
      <c r="V37" s="119" t="s">
        <v>60</v>
      </c>
      <c r="W37" s="119" t="s">
        <v>61</v>
      </c>
    </row>
    <row r="38" spans="1:23" ht="17.45" customHeight="1" x14ac:dyDescent="0.25">
      <c r="A38" s="86" t="s">
        <v>170</v>
      </c>
      <c r="B38" s="87" t="s">
        <v>163</v>
      </c>
      <c r="C38" s="124" t="str">
        <f>+C17</f>
        <v>15 de mayo de  2020</v>
      </c>
      <c r="D38" s="91" t="s">
        <v>184</v>
      </c>
      <c r="E38" s="88"/>
      <c r="H38" s="92"/>
      <c r="I38" s="92"/>
      <c r="N38" s="265" t="s">
        <v>63</v>
      </c>
      <c r="O38" s="266"/>
      <c r="P38" s="266"/>
      <c r="Q38" s="266"/>
      <c r="R38" s="267"/>
      <c r="S38" s="120" t="str">
        <f>IF(O17&lt;&gt;"",IF(Y17="si","Cumplió",IF(Y17="No","No Hábil","√")),"N/A")</f>
        <v>Cumplió</v>
      </c>
      <c r="T38" s="121" t="str">
        <f>IF(O18&lt;&gt;"",IF(Y18="si","Cumplió",IF(Y18="No","No Hábil","√")),"N/A")</f>
        <v>N/A</v>
      </c>
      <c r="U38" s="121" t="str">
        <f>IF(O19&lt;&gt;"",IF(Y19="si","Cumplió",IF(Y19="No","No Hábil","√")),"N/A")</f>
        <v>N/A</v>
      </c>
      <c r="V38" s="121" t="str">
        <f>IF(O20&lt;&gt;"",IF(Y20="si","Cumplió",IF(Y20="No","No Hábil","√")),"N/A")</f>
        <v>N/A</v>
      </c>
      <c r="W38" s="121" t="str">
        <f>IF(O21&lt;&gt;"",IF(Y21="si","Cumplió",IF(Y21="No","No Hábil","√")),"N/A")</f>
        <v>N/A</v>
      </c>
    </row>
    <row r="39" spans="1:23" x14ac:dyDescent="0.25">
      <c r="A39" s="86" t="s">
        <v>244</v>
      </c>
      <c r="B39" s="126" t="s">
        <v>171</v>
      </c>
      <c r="C39" s="163" t="str">
        <f>+C21</f>
        <v>3 dias</v>
      </c>
      <c r="D39" s="91" t="s">
        <v>234</v>
      </c>
      <c r="E39" s="88"/>
      <c r="H39" s="92"/>
      <c r="I39" s="92"/>
      <c r="N39" s="268"/>
      <c r="O39" s="269"/>
      <c r="P39" s="269"/>
      <c r="Q39" s="269"/>
      <c r="R39" s="270"/>
      <c r="S39" s="271"/>
      <c r="T39" s="272"/>
      <c r="U39" s="272"/>
      <c r="V39" s="272"/>
      <c r="W39" s="273"/>
    </row>
    <row r="40" spans="1:23" ht="17.45" customHeight="1" x14ac:dyDescent="0.25">
      <c r="A40" s="86" t="s">
        <v>279</v>
      </c>
      <c r="B40" s="87" t="s">
        <v>164</v>
      </c>
      <c r="C40" s="74" t="s">
        <v>387</v>
      </c>
      <c r="D40" s="91" t="s">
        <v>200</v>
      </c>
      <c r="E40" s="88"/>
      <c r="H40" s="92"/>
      <c r="I40" s="92"/>
      <c r="O40" s="123"/>
      <c r="P40" s="123"/>
      <c r="Q40" s="123"/>
      <c r="R40" s="123"/>
      <c r="S40" s="123"/>
      <c r="T40" s="123"/>
      <c r="U40" s="123"/>
    </row>
    <row r="41" spans="1:23" ht="17.45" customHeight="1" x14ac:dyDescent="0.25">
      <c r="A41" s="86" t="s">
        <v>290</v>
      </c>
      <c r="B41" s="87" t="s">
        <v>165</v>
      </c>
      <c r="C41" s="74">
        <v>7050250</v>
      </c>
      <c r="D41" s="91" t="s">
        <v>200</v>
      </c>
      <c r="E41" s="88"/>
      <c r="H41" s="92"/>
      <c r="I41" s="92"/>
      <c r="N41" s="250" t="s">
        <v>69</v>
      </c>
      <c r="O41" s="251"/>
      <c r="P41" s="251"/>
      <c r="Q41" s="251"/>
      <c r="R41" s="251"/>
      <c r="S41" s="251"/>
      <c r="T41" s="251"/>
      <c r="U41" s="251"/>
      <c r="V41" s="251"/>
      <c r="W41" s="252"/>
    </row>
    <row r="42" spans="1:23" ht="17.45" customHeight="1" x14ac:dyDescent="0.25">
      <c r="A42" s="86" t="s">
        <v>292</v>
      </c>
      <c r="B42" s="87" t="s">
        <v>166</v>
      </c>
      <c r="C42" s="82" t="s">
        <v>388</v>
      </c>
      <c r="D42" s="91" t="s">
        <v>200</v>
      </c>
      <c r="N42" s="274" t="s">
        <v>72</v>
      </c>
      <c r="O42" s="275"/>
      <c r="P42" s="275"/>
      <c r="Q42" s="275"/>
      <c r="R42" s="276"/>
      <c r="S42" s="119" t="s">
        <v>57</v>
      </c>
      <c r="T42" s="119" t="s">
        <v>58</v>
      </c>
      <c r="U42" s="119" t="s">
        <v>59</v>
      </c>
      <c r="V42" s="119" t="s">
        <v>60</v>
      </c>
      <c r="W42" s="119" t="s">
        <v>61</v>
      </c>
    </row>
    <row r="43" spans="1:23" ht="34.5" customHeight="1" x14ac:dyDescent="0.25">
      <c r="A43" s="86" t="s">
        <v>303</v>
      </c>
      <c r="B43" s="87" t="s">
        <v>180</v>
      </c>
      <c r="C43" s="100" t="str">
        <f>+C17</f>
        <v>15 de mayo de  2020</v>
      </c>
      <c r="H43" s="297" t="s">
        <v>80</v>
      </c>
      <c r="I43" s="297"/>
      <c r="J43" s="297"/>
      <c r="K43" s="297"/>
      <c r="N43" s="221" t="s">
        <v>296</v>
      </c>
      <c r="O43" s="221"/>
      <c r="P43" s="221"/>
      <c r="Q43" s="221"/>
      <c r="R43" s="221"/>
      <c r="S43" s="121" t="str">
        <f>IF(C47="SI","Cumplió","No Requiere")</f>
        <v>Cumplió</v>
      </c>
      <c r="T43" s="121" t="str">
        <f xml:space="preserve"> IF($T$38="Cumplió",IF($Y$18="si","Cumplió",  "No Evaluado"),IF($T$38="No Hábil", "No Hábil","N/A"))</f>
        <v>N/A</v>
      </c>
      <c r="U43" s="121" t="str">
        <f xml:space="preserve"> IF($U$38="Cumplió",IF($Y$19="si","Cumplió",  "No Evaluado"),IF($U$38="No Hábil", "No Hábil","N/A"))</f>
        <v>N/A</v>
      </c>
      <c r="V43" s="121" t="str">
        <f xml:space="preserve"> IF($V$38="Cumplió",IF($Y$20="si","Cumplió",  "No Evaluado"),IF($V$38="No Hábil", "No Hábil","N/A"))</f>
        <v>N/A</v>
      </c>
      <c r="W43" s="121" t="str">
        <f xml:space="preserve"> IF($W$38="Cumplió",IF($Y$21="si","Cumplió",  "No Evaluado"),IF($W$38="No Hábil", "No Hábil","N/A"))</f>
        <v>N/A</v>
      </c>
    </row>
    <row r="44" spans="1:23" ht="34.5" customHeight="1" x14ac:dyDescent="0.25">
      <c r="A44" s="86" t="s">
        <v>304</v>
      </c>
      <c r="B44" s="162" t="s">
        <v>245</v>
      </c>
      <c r="C44" s="71" t="s">
        <v>344</v>
      </c>
      <c r="D44" s="91" t="s">
        <v>246</v>
      </c>
      <c r="H44" s="129" t="s">
        <v>82</v>
      </c>
      <c r="I44" s="129" t="s">
        <v>83</v>
      </c>
      <c r="J44" s="129" t="s">
        <v>84</v>
      </c>
      <c r="K44" s="129" t="s">
        <v>130</v>
      </c>
      <c r="N44" s="221" t="s">
        <v>268</v>
      </c>
      <c r="O44" s="221"/>
      <c r="P44" s="221"/>
      <c r="Q44" s="221"/>
      <c r="R44" s="221"/>
      <c r="S44" s="121" t="str">
        <f xml:space="preserve"> IF($S$38="Cumplió",IF($Y$17="si","Cumplió",  "No Evaluado"),IF($S$38="No Hábil", "No Hábil","N/A"))</f>
        <v>Cumplió</v>
      </c>
      <c r="T44" s="121" t="str">
        <f t="shared" ref="T44:T51" si="0" xml:space="preserve"> IF($T$38="Cumplió",IF($Y$18="si","Cumplió",  "No Evaluado"),IF($T$38="No Hábil", "No Hábil","N/A"))</f>
        <v>N/A</v>
      </c>
      <c r="U44" s="121" t="str">
        <f t="shared" ref="U44:U51" si="1" xml:space="preserve"> IF($U$38="Cumplió",IF($Y$19="si","Cumplió",  "No Evaluado"),IF($U$38="No Hábil", "No Hábil","N/A"))</f>
        <v>N/A</v>
      </c>
      <c r="V44" s="121" t="str">
        <f t="shared" ref="V44:V51" si="2" xml:space="preserve"> IF($V$38="Cumplió",IF($Y$20="si","Cumplió",  "No Evaluado"),IF($V$38="No Hábil", "No Hábil","N/A"))</f>
        <v>N/A</v>
      </c>
      <c r="W44" s="121" t="str">
        <f t="shared" ref="W44:W51" si="3" xml:space="preserve"> IF($W$38="Cumplió",IF($Y$21="si","Cumplió",  "No Evaluado"),IF($W$38="No Hábil", "No Hábil","N/A"))</f>
        <v>N/A</v>
      </c>
    </row>
    <row r="45" spans="1:23" ht="35.450000000000003" customHeight="1" x14ac:dyDescent="0.25">
      <c r="A45" s="86" t="s">
        <v>305</v>
      </c>
      <c r="B45" s="162" t="s">
        <v>280</v>
      </c>
      <c r="C45" s="71" t="s">
        <v>345</v>
      </c>
      <c r="D45" s="293" t="s">
        <v>226</v>
      </c>
      <c r="E45" s="293"/>
      <c r="F45" s="99"/>
      <c r="G45" s="99"/>
      <c r="H45" s="296" t="s">
        <v>120</v>
      </c>
      <c r="I45" s="130" t="s">
        <v>241</v>
      </c>
      <c r="J45" s="277" t="str">
        <f>+C26</f>
        <v>30 de abril de 2020</v>
      </c>
      <c r="K45" s="280" t="s">
        <v>120</v>
      </c>
      <c r="N45" s="221" t="s">
        <v>75</v>
      </c>
      <c r="O45" s="221"/>
      <c r="P45" s="221"/>
      <c r="Q45" s="221"/>
      <c r="R45" s="221"/>
      <c r="S45" s="121" t="str">
        <f t="shared" ref="S45:S50" si="4" xml:space="preserve"> IF($S$38="Cumplió",IF($Y$17="si","Cumplió",  "No Evaluado"),IF($S$38="No Hábil", "No Hábil","N/A"))</f>
        <v>Cumplió</v>
      </c>
      <c r="T45" s="121" t="str">
        <f t="shared" si="0"/>
        <v>N/A</v>
      </c>
      <c r="U45" s="121" t="str">
        <f t="shared" si="1"/>
        <v>N/A</v>
      </c>
      <c r="V45" s="121" t="str">
        <f t="shared" si="2"/>
        <v>N/A</v>
      </c>
      <c r="W45" s="121" t="str">
        <f t="shared" si="3"/>
        <v>N/A</v>
      </c>
    </row>
    <row r="46" spans="1:23" ht="54" customHeight="1" x14ac:dyDescent="0.25">
      <c r="A46" s="86" t="s">
        <v>306</v>
      </c>
      <c r="B46" s="162" t="s">
        <v>291</v>
      </c>
      <c r="C46" s="71" t="s">
        <v>345</v>
      </c>
      <c r="D46" s="293"/>
      <c r="E46" s="293"/>
      <c r="F46" s="99"/>
      <c r="G46" s="99"/>
      <c r="H46" s="296"/>
      <c r="I46" s="130" t="s">
        <v>86</v>
      </c>
      <c r="J46" s="278"/>
      <c r="K46" s="257"/>
      <c r="N46" s="221" t="s">
        <v>269</v>
      </c>
      <c r="O46" s="221"/>
      <c r="P46" s="221"/>
      <c r="Q46" s="221"/>
      <c r="R46" s="221"/>
      <c r="S46" s="121" t="str">
        <f t="shared" si="4"/>
        <v>Cumplió</v>
      </c>
      <c r="T46" s="121" t="str">
        <f t="shared" si="0"/>
        <v>N/A</v>
      </c>
      <c r="U46" s="121" t="str">
        <f t="shared" si="1"/>
        <v>N/A</v>
      </c>
      <c r="V46" s="121" t="str">
        <f t="shared" si="2"/>
        <v>N/A</v>
      </c>
      <c r="W46" s="121" t="str">
        <f t="shared" si="3"/>
        <v>N/A</v>
      </c>
    </row>
    <row r="47" spans="1:23" ht="28.5" customHeight="1" x14ac:dyDescent="0.25">
      <c r="A47" s="86" t="s">
        <v>309</v>
      </c>
      <c r="B47" s="162" t="s">
        <v>293</v>
      </c>
      <c r="C47" s="71" t="s">
        <v>346</v>
      </c>
      <c r="D47" s="293"/>
      <c r="E47" s="293"/>
      <c r="F47" s="99"/>
      <c r="G47" s="99"/>
      <c r="H47" s="296"/>
      <c r="I47" s="130" t="s">
        <v>124</v>
      </c>
      <c r="J47" s="278"/>
      <c r="K47" s="257"/>
      <c r="N47" s="221" t="s">
        <v>270</v>
      </c>
      <c r="O47" s="221"/>
      <c r="P47" s="221"/>
      <c r="Q47" s="221"/>
      <c r="R47" s="221"/>
      <c r="S47" s="121" t="str">
        <f t="shared" si="4"/>
        <v>Cumplió</v>
      </c>
      <c r="T47" s="121" t="str">
        <f t="shared" si="0"/>
        <v>N/A</v>
      </c>
      <c r="U47" s="121" t="str">
        <f t="shared" si="1"/>
        <v>N/A</v>
      </c>
      <c r="V47" s="121" t="str">
        <f t="shared" si="2"/>
        <v>N/A</v>
      </c>
      <c r="W47" s="121" t="str">
        <f t="shared" si="3"/>
        <v>N/A</v>
      </c>
    </row>
    <row r="48" spans="1:23" ht="30.75" customHeight="1" thickBot="1" x14ac:dyDescent="0.3">
      <c r="D48" s="294"/>
      <c r="E48" s="294"/>
      <c r="F48" s="137"/>
      <c r="G48" s="137"/>
      <c r="H48" s="247"/>
      <c r="I48" s="138" t="s">
        <v>121</v>
      </c>
      <c r="J48" s="279"/>
      <c r="K48" s="258"/>
      <c r="N48" s="221" t="s">
        <v>271</v>
      </c>
      <c r="O48" s="221"/>
      <c r="P48" s="221"/>
      <c r="Q48" s="221"/>
      <c r="R48" s="221"/>
      <c r="S48" s="121" t="str">
        <f t="shared" si="4"/>
        <v>Cumplió</v>
      </c>
      <c r="T48" s="121" t="str">
        <f t="shared" si="0"/>
        <v>N/A</v>
      </c>
      <c r="U48" s="121" t="str">
        <f t="shared" si="1"/>
        <v>N/A</v>
      </c>
      <c r="V48" s="121" t="str">
        <f t="shared" si="2"/>
        <v>N/A</v>
      </c>
      <c r="W48" s="121" t="str">
        <f t="shared" si="3"/>
        <v>N/A</v>
      </c>
    </row>
    <row r="49" spans="1:25" ht="76.5" customHeight="1" x14ac:dyDescent="0.25">
      <c r="A49" s="125" t="s">
        <v>222</v>
      </c>
      <c r="B49" s="156" t="s">
        <v>321</v>
      </c>
      <c r="D49" s="295" t="s">
        <v>227</v>
      </c>
      <c r="E49" s="295"/>
      <c r="F49" s="139"/>
      <c r="G49" s="139"/>
      <c r="H49" s="291" t="s">
        <v>122</v>
      </c>
      <c r="I49" s="140" t="s">
        <v>125</v>
      </c>
      <c r="J49" s="281" t="s">
        <v>372</v>
      </c>
      <c r="K49" s="256" t="s">
        <v>131</v>
      </c>
      <c r="N49" s="221" t="s">
        <v>272</v>
      </c>
      <c r="O49" s="221"/>
      <c r="P49" s="221"/>
      <c r="Q49" s="221"/>
      <c r="R49" s="221"/>
      <c r="S49" s="121" t="str">
        <f t="shared" si="4"/>
        <v>Cumplió</v>
      </c>
      <c r="T49" s="121" t="str">
        <f t="shared" si="0"/>
        <v>N/A</v>
      </c>
      <c r="U49" s="121" t="str">
        <f t="shared" si="1"/>
        <v>N/A</v>
      </c>
      <c r="V49" s="121" t="str">
        <f t="shared" si="2"/>
        <v>N/A</v>
      </c>
      <c r="W49" s="121" t="str">
        <f t="shared" si="3"/>
        <v>N/A</v>
      </c>
      <c r="Y49" s="131"/>
    </row>
    <row r="50" spans="1:25" ht="27" customHeight="1" thickBot="1" x14ac:dyDescent="0.3">
      <c r="A50" s="125" t="s">
        <v>181</v>
      </c>
      <c r="B50" s="134" t="s">
        <v>203</v>
      </c>
      <c r="D50" s="294"/>
      <c r="E50" s="294"/>
      <c r="F50" s="137"/>
      <c r="G50" s="137"/>
      <c r="H50" s="292"/>
      <c r="I50" s="138" t="s">
        <v>123</v>
      </c>
      <c r="J50" s="282"/>
      <c r="K50" s="258"/>
      <c r="N50" s="221" t="s">
        <v>273</v>
      </c>
      <c r="O50" s="221"/>
      <c r="P50" s="221"/>
      <c r="Q50" s="221"/>
      <c r="R50" s="221"/>
      <c r="S50" s="121" t="str">
        <f t="shared" si="4"/>
        <v>Cumplió</v>
      </c>
      <c r="T50" s="121" t="str">
        <f t="shared" si="0"/>
        <v>N/A</v>
      </c>
      <c r="U50" s="121" t="str">
        <f t="shared" si="1"/>
        <v>N/A</v>
      </c>
      <c r="V50" s="121" t="str">
        <f t="shared" si="2"/>
        <v>N/A</v>
      </c>
      <c r="W50" s="121" t="str">
        <f t="shared" si="3"/>
        <v>N/A</v>
      </c>
    </row>
    <row r="51" spans="1:25" ht="45" customHeight="1" x14ac:dyDescent="0.25">
      <c r="A51" s="125" t="s">
        <v>223</v>
      </c>
      <c r="B51" s="135" t="s">
        <v>322</v>
      </c>
      <c r="D51" s="295" t="s">
        <v>242</v>
      </c>
      <c r="E51" s="295"/>
      <c r="F51" s="139"/>
      <c r="G51" s="139"/>
      <c r="H51" s="291" t="s">
        <v>92</v>
      </c>
      <c r="I51" s="246" t="s">
        <v>298</v>
      </c>
      <c r="J51" s="281" t="s">
        <v>373</v>
      </c>
      <c r="K51" s="256" t="s">
        <v>132</v>
      </c>
      <c r="N51" s="221" t="s">
        <v>274</v>
      </c>
      <c r="O51" s="221"/>
      <c r="P51" s="221"/>
      <c r="Q51" s="221"/>
      <c r="R51" s="221"/>
      <c r="S51" s="121" t="str">
        <f>IF(C46="SI","Cumplió","No Requiere")</f>
        <v>No Requiere</v>
      </c>
      <c r="T51" s="121" t="str">
        <f t="shared" si="0"/>
        <v>N/A</v>
      </c>
      <c r="U51" s="121" t="str">
        <f t="shared" si="1"/>
        <v>N/A</v>
      </c>
      <c r="V51" s="121" t="str">
        <f t="shared" si="2"/>
        <v>N/A</v>
      </c>
      <c r="W51" s="121" t="str">
        <f t="shared" si="3"/>
        <v>N/A</v>
      </c>
    </row>
    <row r="52" spans="1:25" ht="44.25" customHeight="1" thickBot="1" x14ac:dyDescent="0.3">
      <c r="B52" s="135" t="s">
        <v>323</v>
      </c>
      <c r="D52" s="294"/>
      <c r="E52" s="294"/>
      <c r="F52" s="137"/>
      <c r="G52" s="137"/>
      <c r="H52" s="292"/>
      <c r="I52" s="247"/>
      <c r="J52" s="282"/>
      <c r="K52" s="258"/>
      <c r="N52"/>
      <c r="O52"/>
      <c r="P52"/>
      <c r="Q52"/>
      <c r="R52"/>
    </row>
    <row r="53" spans="1:25" ht="23.45" customHeight="1" x14ac:dyDescent="0.25">
      <c r="A53" s="125" t="s">
        <v>195</v>
      </c>
      <c r="B53" s="211" t="s">
        <v>324</v>
      </c>
      <c r="D53" s="295" t="s">
        <v>228</v>
      </c>
      <c r="E53" s="295"/>
      <c r="F53" s="139"/>
      <c r="G53" s="139"/>
      <c r="H53" s="243" t="s">
        <v>127</v>
      </c>
      <c r="I53" s="140" t="s">
        <v>93</v>
      </c>
      <c r="J53" s="253" t="str">
        <f>+J51</f>
        <v>6 de mayo de 2020</v>
      </c>
      <c r="K53" s="256" t="s">
        <v>133</v>
      </c>
      <c r="N53" s="99"/>
      <c r="O53" s="99"/>
      <c r="P53" s="99"/>
      <c r="Q53" s="99"/>
    </row>
    <row r="54" spans="1:25" ht="26.1" customHeight="1" x14ac:dyDescent="0.25">
      <c r="A54" s="133" t="s">
        <v>221</v>
      </c>
      <c r="B54" s="136" t="s">
        <v>327</v>
      </c>
      <c r="D54" s="293"/>
      <c r="E54" s="293"/>
      <c r="F54" s="99"/>
      <c r="G54" s="99"/>
      <c r="H54" s="244"/>
      <c r="I54" s="130" t="s">
        <v>126</v>
      </c>
      <c r="J54" s="254"/>
      <c r="K54" s="257"/>
    </row>
    <row r="55" spans="1:25" ht="53.25" customHeight="1" thickBot="1" x14ac:dyDescent="0.3">
      <c r="A55" s="125" t="s">
        <v>224</v>
      </c>
      <c r="B55" s="134" t="s">
        <v>325</v>
      </c>
      <c r="D55" s="294"/>
      <c r="E55" s="294"/>
      <c r="F55" s="137"/>
      <c r="G55" s="137"/>
      <c r="H55" s="245"/>
      <c r="I55" s="138" t="s">
        <v>94</v>
      </c>
      <c r="J55" s="255"/>
      <c r="K55" s="258"/>
      <c r="N55" s="233" t="s">
        <v>87</v>
      </c>
      <c r="O55" s="234"/>
      <c r="P55" s="234"/>
      <c r="Q55" s="234"/>
      <c r="R55" s="234"/>
      <c r="S55" s="234"/>
      <c r="T55" s="234"/>
      <c r="U55" s="234"/>
      <c r="V55" s="234"/>
      <c r="W55" s="235"/>
    </row>
    <row r="56" spans="1:25" ht="54" customHeight="1" thickBot="1" x14ac:dyDescent="0.3">
      <c r="A56" s="125" t="s">
        <v>225</v>
      </c>
      <c r="B56" s="134" t="s">
        <v>326</v>
      </c>
      <c r="D56" s="298" t="s">
        <v>243</v>
      </c>
      <c r="E56" s="298"/>
      <c r="F56" s="141"/>
      <c r="G56" s="141"/>
      <c r="H56" s="142" t="s">
        <v>129</v>
      </c>
      <c r="I56" s="143" t="s">
        <v>151</v>
      </c>
      <c r="J56" s="144"/>
      <c r="K56" s="142"/>
      <c r="N56" s="240" t="s">
        <v>88</v>
      </c>
      <c r="O56" s="241"/>
      <c r="P56" s="241"/>
      <c r="Q56" s="242"/>
      <c r="R56" s="145" t="s">
        <v>89</v>
      </c>
      <c r="S56" s="119" t="s">
        <v>57</v>
      </c>
      <c r="T56" s="119" t="s">
        <v>58</v>
      </c>
      <c r="U56" s="119" t="s">
        <v>59</v>
      </c>
      <c r="V56" s="119" t="s">
        <v>60</v>
      </c>
      <c r="W56" s="119" t="s">
        <v>61</v>
      </c>
    </row>
    <row r="57" spans="1:25" ht="27.75" customHeight="1" x14ac:dyDescent="0.25">
      <c r="D57" s="295" t="s">
        <v>228</v>
      </c>
      <c r="E57" s="295"/>
      <c r="F57" s="139"/>
      <c r="G57" s="139"/>
      <c r="H57" s="246" t="s">
        <v>128</v>
      </c>
      <c r="I57" s="246" t="s">
        <v>139</v>
      </c>
      <c r="J57" s="253" t="str">
        <f>+J53</f>
        <v>6 de mayo de 2020</v>
      </c>
      <c r="K57" s="256" t="s">
        <v>134</v>
      </c>
      <c r="N57" s="259" t="s">
        <v>90</v>
      </c>
      <c r="O57" s="260"/>
      <c r="P57" s="260"/>
      <c r="Q57" s="261"/>
      <c r="R57" s="172" t="s">
        <v>265</v>
      </c>
      <c r="S57" s="121">
        <f>IF(S38="Cumplió",Z17,IF(S38="No Hábil","No Hábil",S38))</f>
        <v>70</v>
      </c>
      <c r="T57" s="121" t="str">
        <f>IF(T38="Cumplió",Z18,IF(T38="No Hábil","No Hábil",T38))</f>
        <v>N/A</v>
      </c>
      <c r="U57" s="121" t="str">
        <f>IF(U38="Cumplió",Z19,IF(U38="No Hábil","No Hábil",U43))</f>
        <v>N/A</v>
      </c>
      <c r="V57" s="121" t="str">
        <f>IF(V38="Cumplió",Z20,IF(V38="No Hábil","No Hábil",V38))</f>
        <v>N/A</v>
      </c>
      <c r="W57" s="121" t="str">
        <f>IF(W38="Cumplió",Z21,IF(W38="No Hábil","No Hábil",W38))</f>
        <v>N/A</v>
      </c>
    </row>
    <row r="58" spans="1:25" ht="37.5" customHeight="1" thickBot="1" x14ac:dyDescent="0.3">
      <c r="D58" s="294"/>
      <c r="E58" s="294"/>
      <c r="F58" s="137"/>
      <c r="G58" s="137"/>
      <c r="H58" s="247"/>
      <c r="I58" s="247"/>
      <c r="J58" s="255"/>
      <c r="K58" s="258"/>
      <c r="N58" s="236" t="s">
        <v>38</v>
      </c>
      <c r="O58" s="237"/>
      <c r="P58" s="237"/>
      <c r="Q58" s="238"/>
      <c r="R58" s="173" t="s">
        <v>266</v>
      </c>
      <c r="S58" s="148">
        <f>IF(S38="Cumplió",AA17,IF(S38="No Hábil","No Hábil",S38))</f>
        <v>30</v>
      </c>
      <c r="T58" s="148" t="str">
        <f>IF(T38="Cumplió",AA18,IF(T38="No Hábil","No Hábil",T38))</f>
        <v>N/A</v>
      </c>
      <c r="U58" s="148" t="str">
        <f>IF(U38="cumplió",AA19,IF(U38="No Hábil","No Hábil",U38))</f>
        <v>N/A</v>
      </c>
      <c r="V58" s="148" t="str">
        <f>IF(V38="Cumplió",AA20,IF(V38="No Hábil","No Hábil",V38))</f>
        <v>N/A</v>
      </c>
      <c r="W58" s="148" t="str">
        <f>IF(W38="Cumplió",AA21,IF(W38="No Hábil","No Hábil",W38))</f>
        <v>N/A</v>
      </c>
    </row>
    <row r="59" spans="1:25" ht="15.75" customHeight="1" x14ac:dyDescent="0.25">
      <c r="D59" s="295" t="s">
        <v>229</v>
      </c>
      <c r="E59" s="295"/>
      <c r="F59" s="139"/>
      <c r="G59" s="139"/>
      <c r="H59" s="246" t="s">
        <v>95</v>
      </c>
      <c r="I59" s="248" t="s">
        <v>96</v>
      </c>
      <c r="J59" s="281" t="s">
        <v>374</v>
      </c>
      <c r="K59" s="256"/>
      <c r="N59" s="239" t="s">
        <v>91</v>
      </c>
      <c r="O59" s="239"/>
      <c r="P59" s="239"/>
      <c r="Q59" s="239"/>
      <c r="R59" s="146">
        <v>1</v>
      </c>
      <c r="S59" s="147" t="str">
        <f>IF(Y17="si",S57 + S58 &amp;"%",S57)</f>
        <v>100%</v>
      </c>
      <c r="T59" s="147" t="str">
        <f>IF(Y18="si",T57 + T58 &amp;"%",T57)</f>
        <v>N/A</v>
      </c>
      <c r="U59" s="147" t="str">
        <f>IF(Y19="si",U57 + U58 &amp;"%",U57)</f>
        <v>N/A</v>
      </c>
      <c r="V59" s="147" t="str">
        <f>IF(Y20="si",V57 + V58 &amp;"%",V57)</f>
        <v>N/A</v>
      </c>
      <c r="W59" s="147" t="str">
        <f>IF(Y21="si",W57 + W58 &amp;"%",W57)</f>
        <v>N/A</v>
      </c>
    </row>
    <row r="60" spans="1:25" ht="51" customHeight="1" thickBot="1" x14ac:dyDescent="0.3">
      <c r="D60" s="294"/>
      <c r="E60" s="294"/>
      <c r="F60" s="137"/>
      <c r="G60" s="137"/>
      <c r="H60" s="247"/>
      <c r="I60" s="249"/>
      <c r="J60" s="282"/>
      <c r="K60" s="258"/>
      <c r="N60" s="222" t="str">
        <f>+"El oferente con mejor calificación es: "&amp;IF(AC17=AB17,O17,(IF(AC17=AB18,O18,IF(AC17=AB19,O19,IF(AC17=AB20,O20,O21))))) &amp;", con NIT "&amp;IF(AC17=AB17,U17,(IF(AC17=AB18,U18,IF(AC17=AB19,U19,IF(AC17=AB20,U20,U21))))) &amp;", por un valor de $ "&amp;IF(AC17=AB17,W17,(IF(AC17=AB18,W18,IF(AC17=AB19,W19,IF(AC17=AB20,W20,W21))))) &amp;", por concepto de "&amp;Datos!C8&amp;""</f>
        <v>El oferente con mejor calificación es: EDITORIAL LIBROS Y LIBROS S.A L Y L S.A, con NIT 860.531.396-1, por un valor de $ 17240000, por concepto de Compra de textos escolares de 6° a 11°</v>
      </c>
      <c r="O60" s="222"/>
      <c r="P60" s="222"/>
      <c r="Q60" s="222"/>
      <c r="R60" s="222"/>
      <c r="S60" s="222"/>
      <c r="T60" s="222"/>
      <c r="U60" s="222"/>
      <c r="V60" s="222"/>
      <c r="W60" s="222"/>
    </row>
    <row r="61" spans="1:25" ht="20.45" customHeight="1" x14ac:dyDescent="0.25">
      <c r="D61" s="295" t="s">
        <v>230</v>
      </c>
      <c r="E61" s="295"/>
      <c r="F61" s="139"/>
      <c r="G61" s="139"/>
      <c r="H61" s="246" t="s">
        <v>97</v>
      </c>
      <c r="I61" s="248" t="s">
        <v>98</v>
      </c>
      <c r="J61" s="281" t="s">
        <v>375</v>
      </c>
      <c r="K61" s="256"/>
      <c r="N61" s="223"/>
      <c r="O61" s="223"/>
      <c r="P61" s="223"/>
      <c r="Q61" s="223"/>
      <c r="R61" s="223"/>
      <c r="S61" s="223"/>
      <c r="T61" s="223"/>
      <c r="U61" s="223"/>
      <c r="V61" s="223"/>
      <c r="W61" s="223"/>
    </row>
    <row r="62" spans="1:25" ht="38.25" customHeight="1" thickBot="1" x14ac:dyDescent="0.3">
      <c r="D62" s="294"/>
      <c r="E62" s="294"/>
      <c r="F62" s="137"/>
      <c r="G62" s="137"/>
      <c r="H62" s="247"/>
      <c r="I62" s="249"/>
      <c r="J62" s="282"/>
      <c r="K62" s="258"/>
      <c r="N62" s="223"/>
      <c r="O62" s="223"/>
      <c r="P62" s="223"/>
      <c r="Q62" s="223"/>
      <c r="R62" s="223"/>
      <c r="S62" s="223"/>
      <c r="T62" s="223"/>
      <c r="U62" s="223"/>
      <c r="V62" s="223"/>
      <c r="W62" s="223"/>
    </row>
    <row r="63" spans="1:25" ht="35.1" customHeight="1" x14ac:dyDescent="0.25">
      <c r="D63" s="295" t="s">
        <v>231</v>
      </c>
      <c r="E63" s="295"/>
      <c r="F63" s="139"/>
      <c r="G63" s="139"/>
      <c r="H63" s="246" t="s">
        <v>140</v>
      </c>
      <c r="I63" s="140" t="s">
        <v>142</v>
      </c>
      <c r="J63" s="305" t="s">
        <v>376</v>
      </c>
      <c r="K63" s="256" t="s">
        <v>145</v>
      </c>
    </row>
    <row r="64" spans="1:25" ht="45" customHeight="1" thickBot="1" x14ac:dyDescent="0.3">
      <c r="D64" s="294"/>
      <c r="E64" s="294"/>
      <c r="F64" s="137"/>
      <c r="G64" s="137"/>
      <c r="H64" s="247"/>
      <c r="I64" s="138" t="s">
        <v>99</v>
      </c>
      <c r="J64" s="306"/>
      <c r="K64" s="258"/>
    </row>
    <row r="65" spans="4:13" ht="21" customHeight="1" x14ac:dyDescent="0.25">
      <c r="D65" s="295" t="s">
        <v>232</v>
      </c>
      <c r="E65" s="295"/>
      <c r="F65" s="139"/>
      <c r="G65" s="139"/>
      <c r="H65" s="246" t="s">
        <v>141</v>
      </c>
      <c r="I65" s="243" t="s">
        <v>100</v>
      </c>
      <c r="J65" s="303" t="str">
        <f>+C37</f>
        <v>12 de mayo de 2020</v>
      </c>
      <c r="K65" s="256" t="s">
        <v>135</v>
      </c>
    </row>
    <row r="66" spans="4:13" ht="42.75" customHeight="1" thickBot="1" x14ac:dyDescent="0.3">
      <c r="D66" s="294"/>
      <c r="E66" s="294"/>
      <c r="F66" s="137"/>
      <c r="G66" s="137"/>
      <c r="H66" s="247"/>
      <c r="I66" s="245"/>
      <c r="J66" s="304"/>
      <c r="K66" s="258"/>
    </row>
    <row r="68" spans="4:13" x14ac:dyDescent="0.25">
      <c r="H68" s="132"/>
      <c r="J68" s="106"/>
      <c r="K68" s="106"/>
    </row>
    <row r="69" spans="4:13" ht="38.25" customHeight="1" x14ac:dyDescent="0.25">
      <c r="G69" s="178" t="s">
        <v>294</v>
      </c>
      <c r="H69" s="106" t="s">
        <v>146</v>
      </c>
      <c r="I69" s="250" t="s">
        <v>72</v>
      </c>
      <c r="J69" s="251"/>
      <c r="K69" s="251"/>
      <c r="L69" s="251"/>
      <c r="M69" s="252"/>
    </row>
    <row r="70" spans="4:13" x14ac:dyDescent="0.25">
      <c r="G70" s="179">
        <v>14000</v>
      </c>
      <c r="H70" s="83">
        <v>110</v>
      </c>
      <c r="I70" s="217" t="s">
        <v>359</v>
      </c>
      <c r="J70" s="218"/>
      <c r="K70" s="218"/>
      <c r="L70" s="218"/>
      <c r="M70" s="219"/>
    </row>
    <row r="71" spans="4:13" x14ac:dyDescent="0.25">
      <c r="G71" s="179">
        <v>14000</v>
      </c>
      <c r="H71" s="83">
        <v>90</v>
      </c>
      <c r="I71" s="217" t="s">
        <v>360</v>
      </c>
      <c r="J71" s="218"/>
      <c r="K71" s="218"/>
      <c r="L71" s="218"/>
      <c r="M71" s="219"/>
    </row>
    <row r="72" spans="4:13" x14ac:dyDescent="0.25">
      <c r="G72" s="179">
        <v>14000</v>
      </c>
      <c r="H72" s="83">
        <v>90</v>
      </c>
      <c r="I72" s="217" t="s">
        <v>361</v>
      </c>
      <c r="J72" s="218"/>
      <c r="K72" s="218"/>
      <c r="L72" s="218"/>
      <c r="M72" s="219"/>
    </row>
    <row r="73" spans="4:13" x14ac:dyDescent="0.25">
      <c r="G73" s="179">
        <v>14000</v>
      </c>
      <c r="H73" s="83">
        <v>50</v>
      </c>
      <c r="I73" s="217" t="s">
        <v>362</v>
      </c>
      <c r="J73" s="218"/>
      <c r="K73" s="218"/>
      <c r="L73" s="218"/>
      <c r="M73" s="219"/>
    </row>
    <row r="74" spans="4:13" x14ac:dyDescent="0.25">
      <c r="G74" s="179">
        <v>14000</v>
      </c>
      <c r="H74" s="83">
        <v>50</v>
      </c>
      <c r="I74" s="217" t="s">
        <v>363</v>
      </c>
      <c r="J74" s="218"/>
      <c r="K74" s="218"/>
      <c r="L74" s="218"/>
      <c r="M74" s="219"/>
    </row>
    <row r="75" spans="4:13" x14ac:dyDescent="0.25">
      <c r="G75" s="179">
        <v>14000</v>
      </c>
      <c r="H75" s="83">
        <v>47</v>
      </c>
      <c r="I75" s="217" t="s">
        <v>364</v>
      </c>
      <c r="J75" s="218"/>
      <c r="K75" s="218"/>
      <c r="L75" s="218"/>
      <c r="M75" s="219"/>
    </row>
    <row r="76" spans="4:13" x14ac:dyDescent="0.25">
      <c r="G76" s="179">
        <v>26000</v>
      </c>
      <c r="H76" s="83">
        <v>110</v>
      </c>
      <c r="I76" s="217" t="s">
        <v>365</v>
      </c>
      <c r="J76" s="218"/>
      <c r="K76" s="218"/>
      <c r="L76" s="218"/>
      <c r="M76" s="219"/>
    </row>
    <row r="77" spans="4:13" x14ac:dyDescent="0.25">
      <c r="G77" s="179">
        <v>26000</v>
      </c>
      <c r="H77" s="83">
        <v>90</v>
      </c>
      <c r="I77" s="217" t="s">
        <v>366</v>
      </c>
      <c r="J77" s="218"/>
      <c r="K77" s="218"/>
      <c r="L77" s="218"/>
      <c r="M77" s="219"/>
    </row>
    <row r="78" spans="4:13" x14ac:dyDescent="0.25">
      <c r="G78" s="179">
        <v>26000</v>
      </c>
      <c r="H78" s="83">
        <v>90</v>
      </c>
      <c r="I78" s="217" t="s">
        <v>367</v>
      </c>
      <c r="J78" s="218"/>
      <c r="K78" s="218"/>
      <c r="L78" s="218"/>
      <c r="M78" s="219"/>
    </row>
    <row r="79" spans="4:13" x14ac:dyDescent="0.25">
      <c r="G79" s="179">
        <v>26000</v>
      </c>
      <c r="H79" s="83">
        <v>50</v>
      </c>
      <c r="I79" s="217" t="s">
        <v>368</v>
      </c>
      <c r="J79" s="218"/>
      <c r="K79" s="218"/>
      <c r="L79" s="218"/>
      <c r="M79" s="219"/>
    </row>
    <row r="80" spans="4:13" x14ac:dyDescent="0.25">
      <c r="G80" s="179">
        <v>26000</v>
      </c>
      <c r="H80" s="83">
        <v>50</v>
      </c>
      <c r="I80" s="217" t="s">
        <v>369</v>
      </c>
      <c r="J80" s="218"/>
      <c r="K80" s="218"/>
      <c r="L80" s="218"/>
      <c r="M80" s="219"/>
    </row>
    <row r="81" spans="7:13" x14ac:dyDescent="0.25">
      <c r="G81" s="179">
        <v>26000</v>
      </c>
      <c r="H81" s="83">
        <v>47</v>
      </c>
      <c r="I81" s="217" t="s">
        <v>370</v>
      </c>
      <c r="J81" s="218"/>
      <c r="K81" s="218"/>
      <c r="L81" s="218"/>
      <c r="M81" s="219"/>
    </row>
    <row r="82" spans="7:13" x14ac:dyDescent="0.25">
      <c r="G82" s="179"/>
      <c r="H82" s="83"/>
      <c r="I82" s="217"/>
      <c r="J82" s="218"/>
      <c r="K82" s="218"/>
      <c r="L82" s="218"/>
      <c r="M82" s="219"/>
    </row>
    <row r="83" spans="7:13" x14ac:dyDescent="0.25">
      <c r="G83" s="179"/>
      <c r="H83" s="83"/>
      <c r="I83" s="217"/>
      <c r="J83" s="218"/>
      <c r="K83" s="218"/>
      <c r="L83" s="218"/>
      <c r="M83" s="219"/>
    </row>
    <row r="84" spans="7:13" x14ac:dyDescent="0.25">
      <c r="G84" s="179"/>
      <c r="H84" s="83"/>
      <c r="I84" s="217"/>
      <c r="J84" s="218"/>
      <c r="K84" s="218"/>
      <c r="L84" s="218"/>
      <c r="M84" s="219"/>
    </row>
    <row r="85" spans="7:13" x14ac:dyDescent="0.25">
      <c r="G85" s="179"/>
      <c r="H85" s="83"/>
      <c r="I85" s="217"/>
      <c r="J85" s="218"/>
      <c r="K85" s="218"/>
      <c r="L85" s="218"/>
      <c r="M85" s="219"/>
    </row>
    <row r="86" spans="7:13" x14ac:dyDescent="0.25">
      <c r="G86" s="179"/>
      <c r="H86" s="83"/>
      <c r="I86" s="217"/>
      <c r="J86" s="218"/>
      <c r="K86" s="218"/>
      <c r="L86" s="218"/>
      <c r="M86" s="219"/>
    </row>
    <row r="87" spans="7:13" x14ac:dyDescent="0.25">
      <c r="G87" s="179"/>
      <c r="H87" s="83"/>
      <c r="I87" s="217"/>
      <c r="J87" s="218"/>
      <c r="K87" s="218"/>
      <c r="L87" s="218"/>
      <c r="M87" s="219"/>
    </row>
    <row r="88" spans="7:13" x14ac:dyDescent="0.25">
      <c r="G88" s="179"/>
      <c r="H88" s="83"/>
      <c r="I88" s="217"/>
      <c r="J88" s="218"/>
      <c r="K88" s="218"/>
      <c r="L88" s="218"/>
      <c r="M88" s="219"/>
    </row>
    <row r="89" spans="7:13" x14ac:dyDescent="0.25">
      <c r="G89" s="179"/>
      <c r="H89" s="83"/>
      <c r="I89" s="217"/>
      <c r="J89" s="218"/>
      <c r="K89" s="218"/>
      <c r="L89" s="218"/>
      <c r="M89" s="219"/>
    </row>
    <row r="90" spans="7:13" x14ac:dyDescent="0.25">
      <c r="G90" s="179"/>
      <c r="H90" s="83"/>
      <c r="I90" s="217"/>
      <c r="J90" s="218"/>
      <c r="K90" s="218"/>
      <c r="L90" s="218"/>
      <c r="M90" s="219"/>
    </row>
    <row r="91" spans="7:13" x14ac:dyDescent="0.25">
      <c r="G91" s="179"/>
      <c r="H91" s="83"/>
      <c r="I91" s="217"/>
      <c r="J91" s="218"/>
      <c r="K91" s="218"/>
      <c r="L91" s="218"/>
      <c r="M91" s="219"/>
    </row>
    <row r="92" spans="7:13" x14ac:dyDescent="0.25">
      <c r="G92" s="179"/>
      <c r="H92" s="83"/>
      <c r="I92" s="217"/>
      <c r="J92" s="218"/>
      <c r="K92" s="218"/>
      <c r="L92" s="218"/>
      <c r="M92" s="219"/>
    </row>
    <row r="93" spans="7:13" x14ac:dyDescent="0.25">
      <c r="G93" s="179"/>
      <c r="H93" s="83"/>
      <c r="I93" s="217"/>
      <c r="J93" s="218"/>
      <c r="K93" s="218"/>
      <c r="L93" s="218"/>
      <c r="M93" s="219"/>
    </row>
    <row r="94" spans="7:13" x14ac:dyDescent="0.25">
      <c r="G94" s="179"/>
      <c r="H94" s="83"/>
      <c r="I94" s="217"/>
      <c r="J94" s="218"/>
      <c r="K94" s="218"/>
      <c r="L94" s="218"/>
      <c r="M94" s="219"/>
    </row>
    <row r="95" spans="7:13" x14ac:dyDescent="0.25">
      <c r="G95" s="179"/>
      <c r="H95" s="83"/>
      <c r="I95" s="217"/>
      <c r="J95" s="218"/>
      <c r="K95" s="218"/>
      <c r="L95" s="218"/>
      <c r="M95" s="219"/>
    </row>
    <row r="96" spans="7:13" x14ac:dyDescent="0.25">
      <c r="G96" s="179"/>
      <c r="H96" s="83"/>
      <c r="I96" s="217"/>
      <c r="J96" s="218"/>
      <c r="K96" s="218"/>
      <c r="L96" s="218"/>
      <c r="M96" s="219"/>
    </row>
    <row r="97" spans="7:13" ht="15.75" customHeight="1" x14ac:dyDescent="0.25">
      <c r="G97" s="179"/>
      <c r="H97" s="83"/>
      <c r="I97" s="217"/>
      <c r="J97" s="218"/>
      <c r="K97" s="218"/>
      <c r="L97" s="218"/>
      <c r="M97" s="219"/>
    </row>
    <row r="98" spans="7:13" x14ac:dyDescent="0.25">
      <c r="G98" s="179"/>
      <c r="H98" s="83"/>
      <c r="I98" s="217"/>
      <c r="J98" s="218"/>
      <c r="K98" s="218"/>
      <c r="L98" s="218"/>
      <c r="M98" s="219"/>
    </row>
    <row r="99" spans="7:13" x14ac:dyDescent="0.25">
      <c r="G99" s="179"/>
      <c r="H99" s="83"/>
      <c r="I99" s="217"/>
      <c r="J99" s="218"/>
      <c r="K99" s="218"/>
      <c r="L99" s="218"/>
      <c r="M99" s="219"/>
    </row>
    <row r="100" spans="7:13" x14ac:dyDescent="0.25">
      <c r="G100" s="179"/>
      <c r="H100" s="83"/>
      <c r="I100" s="217"/>
      <c r="J100" s="218"/>
      <c r="K100" s="218"/>
      <c r="L100" s="218"/>
      <c r="M100" s="219"/>
    </row>
    <row r="101" spans="7:13" x14ac:dyDescent="0.25">
      <c r="G101" s="179"/>
      <c r="H101" s="83"/>
      <c r="I101" s="217"/>
      <c r="J101" s="218"/>
      <c r="K101" s="218"/>
      <c r="L101" s="218"/>
      <c r="M101" s="219"/>
    </row>
    <row r="102" spans="7:13" x14ac:dyDescent="0.25">
      <c r="G102" s="179"/>
      <c r="H102" s="83"/>
      <c r="I102" s="217"/>
      <c r="J102" s="218"/>
      <c r="K102" s="218"/>
      <c r="L102" s="218"/>
      <c r="M102" s="219"/>
    </row>
    <row r="103" spans="7:13" x14ac:dyDescent="0.25">
      <c r="G103" s="179"/>
      <c r="H103" s="83"/>
      <c r="I103" s="217"/>
      <c r="J103" s="218"/>
      <c r="K103" s="218"/>
      <c r="L103" s="218"/>
      <c r="M103" s="219"/>
    </row>
    <row r="104" spans="7:13" x14ac:dyDescent="0.25">
      <c r="G104" s="179"/>
      <c r="H104" s="83"/>
      <c r="I104" s="217"/>
      <c r="J104" s="218"/>
      <c r="K104" s="218"/>
      <c r="L104" s="218"/>
      <c r="M104" s="219"/>
    </row>
    <row r="105" spans="7:13" x14ac:dyDescent="0.25">
      <c r="G105" s="179"/>
      <c r="H105" s="83"/>
      <c r="I105" s="217"/>
      <c r="J105" s="218"/>
      <c r="K105" s="218"/>
      <c r="L105" s="218"/>
      <c r="M105" s="219"/>
    </row>
    <row r="106" spans="7:13" x14ac:dyDescent="0.25">
      <c r="G106" s="179"/>
      <c r="H106" s="83"/>
      <c r="I106" s="217"/>
      <c r="J106" s="218"/>
      <c r="K106" s="218"/>
      <c r="L106" s="218"/>
      <c r="M106" s="219"/>
    </row>
    <row r="107" spans="7:13" x14ac:dyDescent="0.25">
      <c r="G107" s="179"/>
      <c r="H107" s="83"/>
      <c r="I107" s="217"/>
      <c r="J107" s="218"/>
      <c r="K107" s="218"/>
      <c r="L107" s="218"/>
      <c r="M107" s="219"/>
    </row>
    <row r="108" spans="7:13" x14ac:dyDescent="0.25">
      <c r="G108" s="179"/>
      <c r="H108" s="83"/>
      <c r="I108" s="217"/>
      <c r="J108" s="218"/>
      <c r="K108" s="218"/>
      <c r="L108" s="218"/>
      <c r="M108" s="219"/>
    </row>
    <row r="109" spans="7:13" ht="15" customHeight="1" x14ac:dyDescent="0.25">
      <c r="G109" s="179"/>
      <c r="H109" s="83"/>
      <c r="I109" s="217"/>
      <c r="J109" s="218"/>
      <c r="K109" s="218"/>
      <c r="L109" s="218"/>
      <c r="M109" s="219"/>
    </row>
    <row r="110" spans="7:13" x14ac:dyDescent="0.25">
      <c r="G110" s="179"/>
      <c r="H110" s="83"/>
      <c r="I110" s="217"/>
      <c r="J110" s="218"/>
      <c r="K110" s="218"/>
      <c r="L110" s="218"/>
      <c r="M110" s="219"/>
    </row>
    <row r="111" spans="7:13" x14ac:dyDescent="0.25">
      <c r="G111" s="179"/>
      <c r="H111" s="83"/>
      <c r="I111" s="217"/>
      <c r="J111" s="218"/>
      <c r="K111" s="218"/>
      <c r="L111" s="218"/>
      <c r="M111" s="219"/>
    </row>
    <row r="112" spans="7:13" x14ac:dyDescent="0.25">
      <c r="G112" s="179"/>
      <c r="H112" s="83"/>
      <c r="I112" s="217"/>
      <c r="J112" s="218"/>
      <c r="K112" s="218"/>
      <c r="L112" s="218"/>
      <c r="M112" s="219"/>
    </row>
    <row r="113" spans="7:13" x14ac:dyDescent="0.25">
      <c r="G113" s="179"/>
      <c r="H113" s="83"/>
      <c r="I113" s="217"/>
      <c r="J113" s="218"/>
      <c r="K113" s="218"/>
      <c r="L113" s="218"/>
      <c r="M113" s="219"/>
    </row>
    <row r="114" spans="7:13" x14ac:dyDescent="0.25">
      <c r="G114" s="179"/>
      <c r="H114" s="83"/>
      <c r="I114" s="217"/>
      <c r="J114" s="218"/>
      <c r="K114" s="218"/>
      <c r="L114" s="218"/>
      <c r="M114" s="219"/>
    </row>
    <row r="115" spans="7:13" x14ac:dyDescent="0.25">
      <c r="G115" s="179"/>
      <c r="H115" s="83"/>
      <c r="I115" s="217"/>
      <c r="J115" s="218"/>
      <c r="K115" s="218"/>
      <c r="L115" s="218"/>
      <c r="M115" s="219"/>
    </row>
    <row r="116" spans="7:13" x14ac:dyDescent="0.25">
      <c r="G116" s="179"/>
      <c r="H116" s="83"/>
      <c r="I116" s="217"/>
      <c r="J116" s="218"/>
      <c r="K116" s="218"/>
      <c r="L116" s="218"/>
      <c r="M116" s="219"/>
    </row>
    <row r="117" spans="7:13" x14ac:dyDescent="0.25">
      <c r="G117" s="179"/>
      <c r="H117" s="83"/>
      <c r="I117" s="217"/>
      <c r="J117" s="218"/>
      <c r="K117" s="218"/>
      <c r="L117" s="218"/>
      <c r="M117" s="219"/>
    </row>
    <row r="118" spans="7:13" x14ac:dyDescent="0.25">
      <c r="G118" s="179"/>
      <c r="H118" s="83"/>
      <c r="I118" s="217"/>
      <c r="J118" s="218"/>
      <c r="K118" s="218"/>
      <c r="L118" s="218"/>
      <c r="M118" s="219"/>
    </row>
    <row r="119" spans="7:13" x14ac:dyDescent="0.25">
      <c r="G119" s="179"/>
      <c r="H119" s="83"/>
      <c r="I119" s="217"/>
      <c r="J119" s="218"/>
      <c r="K119" s="218"/>
      <c r="L119" s="218"/>
      <c r="M119" s="219"/>
    </row>
    <row r="120" spans="7:13" x14ac:dyDescent="0.25">
      <c r="G120" s="179"/>
      <c r="H120" s="83"/>
      <c r="I120" s="217"/>
      <c r="J120" s="218"/>
      <c r="K120" s="218"/>
      <c r="L120" s="218"/>
      <c r="M120" s="219"/>
    </row>
    <row r="121" spans="7:13" x14ac:dyDescent="0.25">
      <c r="G121" s="179"/>
      <c r="H121" s="83"/>
      <c r="I121" s="217"/>
      <c r="J121" s="218"/>
      <c r="K121" s="218"/>
      <c r="L121" s="218"/>
      <c r="M121" s="219"/>
    </row>
    <row r="122" spans="7:13" x14ac:dyDescent="0.25">
      <c r="G122" s="179"/>
      <c r="H122" s="83"/>
      <c r="I122" s="217"/>
      <c r="J122" s="218"/>
      <c r="K122" s="218"/>
      <c r="L122" s="218"/>
      <c r="M122" s="219"/>
    </row>
    <row r="123" spans="7:13" x14ac:dyDescent="0.25">
      <c r="G123" s="179"/>
      <c r="H123" s="83"/>
      <c r="I123" s="217"/>
      <c r="J123" s="218"/>
      <c r="K123" s="218"/>
      <c r="L123" s="218"/>
      <c r="M123" s="219"/>
    </row>
    <row r="124" spans="7:13" x14ac:dyDescent="0.25">
      <c r="G124" s="179"/>
      <c r="H124" s="83"/>
      <c r="I124" s="217"/>
      <c r="J124" s="218"/>
      <c r="K124" s="218"/>
      <c r="L124" s="218"/>
      <c r="M124" s="219"/>
    </row>
    <row r="125" spans="7:13" x14ac:dyDescent="0.25">
      <c r="G125" s="179"/>
      <c r="H125" s="83"/>
      <c r="I125" s="217"/>
      <c r="J125" s="218"/>
      <c r="K125" s="218"/>
      <c r="L125" s="218"/>
      <c r="M125" s="219"/>
    </row>
    <row r="126" spans="7:13" x14ac:dyDescent="0.25">
      <c r="G126" s="179"/>
      <c r="H126" s="83"/>
      <c r="I126" s="217"/>
      <c r="J126" s="218"/>
      <c r="K126" s="218"/>
      <c r="L126" s="218"/>
      <c r="M126" s="219"/>
    </row>
    <row r="127" spans="7:13" x14ac:dyDescent="0.25">
      <c r="G127" s="179"/>
      <c r="H127" s="83"/>
      <c r="I127" s="217"/>
      <c r="J127" s="218"/>
      <c r="K127" s="218"/>
      <c r="L127" s="218"/>
      <c r="M127" s="219"/>
    </row>
    <row r="128" spans="7:13" x14ac:dyDescent="0.25">
      <c r="G128" s="179"/>
      <c r="H128" s="83"/>
      <c r="I128" s="217"/>
      <c r="J128" s="218"/>
      <c r="K128" s="218"/>
      <c r="L128" s="218"/>
      <c r="M128" s="219"/>
    </row>
    <row r="129" spans="7:13" x14ac:dyDescent="0.25">
      <c r="G129" s="179"/>
      <c r="H129" s="83"/>
      <c r="I129" s="217"/>
      <c r="J129" s="218"/>
      <c r="K129" s="218"/>
      <c r="L129" s="218"/>
      <c r="M129" s="219"/>
    </row>
    <row r="130" spans="7:13" x14ac:dyDescent="0.25">
      <c r="G130" s="179"/>
      <c r="H130" s="83"/>
      <c r="I130" s="217"/>
      <c r="J130" s="218"/>
      <c r="K130" s="218"/>
      <c r="L130" s="218"/>
      <c r="M130" s="219"/>
    </row>
    <row r="131" spans="7:13" x14ac:dyDescent="0.25">
      <c r="G131" s="179"/>
      <c r="H131" s="83"/>
      <c r="I131" s="217"/>
      <c r="J131" s="218"/>
      <c r="K131" s="218"/>
      <c r="L131" s="218"/>
      <c r="M131" s="219"/>
    </row>
    <row r="132" spans="7:13" x14ac:dyDescent="0.25">
      <c r="G132" s="179"/>
      <c r="H132" s="83"/>
      <c r="I132" s="217"/>
      <c r="J132" s="218"/>
      <c r="K132" s="218"/>
      <c r="L132" s="218"/>
      <c r="M132" s="219"/>
    </row>
    <row r="133" spans="7:13" x14ac:dyDescent="0.25">
      <c r="G133" s="179"/>
      <c r="H133" s="83"/>
      <c r="I133" s="217"/>
      <c r="J133" s="218"/>
      <c r="K133" s="218"/>
      <c r="L133" s="218"/>
      <c r="M133" s="219"/>
    </row>
    <row r="134" spans="7:13" x14ac:dyDescent="0.25">
      <c r="G134" s="179"/>
      <c r="H134" s="83"/>
      <c r="I134" s="217"/>
      <c r="J134" s="218"/>
      <c r="K134" s="218"/>
      <c r="L134" s="218"/>
      <c r="M134" s="219"/>
    </row>
    <row r="135" spans="7:13" x14ac:dyDescent="0.25">
      <c r="G135" s="179"/>
      <c r="H135" s="83"/>
      <c r="I135" s="217"/>
      <c r="J135" s="218"/>
      <c r="K135" s="218"/>
      <c r="L135" s="218"/>
      <c r="M135" s="219"/>
    </row>
    <row r="136" spans="7:13" x14ac:dyDescent="0.25">
      <c r="G136" s="179"/>
      <c r="H136" s="83"/>
      <c r="I136" s="217"/>
      <c r="J136" s="218"/>
      <c r="K136" s="218"/>
      <c r="L136" s="218"/>
      <c r="M136" s="219"/>
    </row>
    <row r="137" spans="7:13" x14ac:dyDescent="0.25">
      <c r="G137" s="179"/>
      <c r="H137" s="83"/>
      <c r="I137" s="217"/>
      <c r="J137" s="218"/>
      <c r="K137" s="218"/>
      <c r="L137" s="218"/>
      <c r="M137" s="219"/>
    </row>
    <row r="138" spans="7:13" x14ac:dyDescent="0.25">
      <c r="G138" s="179"/>
      <c r="H138" s="83"/>
      <c r="I138" s="217"/>
      <c r="J138" s="218"/>
      <c r="K138" s="218"/>
      <c r="L138" s="218"/>
      <c r="M138" s="219"/>
    </row>
    <row r="139" spans="7:13" x14ac:dyDescent="0.25">
      <c r="G139" s="179"/>
      <c r="H139" s="83"/>
      <c r="I139" s="217"/>
      <c r="J139" s="218"/>
      <c r="K139" s="218"/>
      <c r="L139" s="218"/>
      <c r="M139" s="219"/>
    </row>
    <row r="140" spans="7:13" x14ac:dyDescent="0.25">
      <c r="G140" s="179"/>
      <c r="H140" s="83"/>
      <c r="I140" s="217"/>
      <c r="J140" s="218"/>
      <c r="K140" s="218"/>
      <c r="L140" s="218"/>
      <c r="M140" s="219"/>
    </row>
    <row r="141" spans="7:13" x14ac:dyDescent="0.25">
      <c r="G141" s="179"/>
      <c r="H141" s="83"/>
      <c r="I141" s="217"/>
      <c r="J141" s="218"/>
      <c r="K141" s="218"/>
      <c r="L141" s="218"/>
      <c r="M141" s="219"/>
    </row>
    <row r="142" spans="7:13" x14ac:dyDescent="0.25">
      <c r="G142" s="179"/>
      <c r="H142" s="83"/>
      <c r="I142" s="217"/>
      <c r="J142" s="218"/>
      <c r="K142" s="218"/>
      <c r="L142" s="218"/>
      <c r="M142" s="219"/>
    </row>
    <row r="143" spans="7:13" x14ac:dyDescent="0.25">
      <c r="G143" s="179"/>
      <c r="H143" s="83"/>
      <c r="I143" s="217"/>
      <c r="J143" s="218"/>
      <c r="K143" s="218"/>
      <c r="L143" s="218"/>
      <c r="M143" s="219"/>
    </row>
    <row r="144" spans="7:13" x14ac:dyDescent="0.25">
      <c r="G144" s="179"/>
      <c r="H144" s="83"/>
      <c r="I144" s="217"/>
      <c r="J144" s="218"/>
      <c r="K144" s="218"/>
      <c r="L144" s="218"/>
      <c r="M144" s="219"/>
    </row>
    <row r="145" spans="7:13" x14ac:dyDescent="0.25">
      <c r="G145" s="179"/>
      <c r="H145" s="83"/>
      <c r="I145" s="217"/>
      <c r="J145" s="218"/>
      <c r="K145" s="218"/>
      <c r="L145" s="218"/>
      <c r="M145" s="219"/>
    </row>
    <row r="146" spans="7:13" x14ac:dyDescent="0.25">
      <c r="G146" s="179"/>
      <c r="H146" s="83"/>
      <c r="I146" s="217"/>
      <c r="J146" s="218"/>
      <c r="K146" s="218"/>
      <c r="L146" s="218"/>
      <c r="M146" s="219"/>
    </row>
    <row r="147" spans="7:13" x14ac:dyDescent="0.25">
      <c r="G147" s="179"/>
      <c r="H147" s="83"/>
      <c r="I147" s="217"/>
      <c r="J147" s="218"/>
      <c r="K147" s="218"/>
      <c r="L147" s="218"/>
      <c r="M147" s="219"/>
    </row>
    <row r="148" spans="7:13" x14ac:dyDescent="0.25">
      <c r="G148" s="179"/>
      <c r="H148" s="83"/>
      <c r="I148" s="217"/>
      <c r="J148" s="218"/>
      <c r="K148" s="218"/>
      <c r="L148" s="218"/>
      <c r="M148" s="219"/>
    </row>
    <row r="149" spans="7:13" x14ac:dyDescent="0.25">
      <c r="G149" s="179"/>
      <c r="H149" s="83"/>
      <c r="I149" s="217"/>
      <c r="J149" s="218"/>
      <c r="K149" s="218"/>
      <c r="L149" s="218"/>
      <c r="M149" s="219"/>
    </row>
    <row r="150" spans="7:13" x14ac:dyDescent="0.25">
      <c r="G150" s="179"/>
      <c r="H150" s="83"/>
      <c r="I150" s="217"/>
      <c r="J150" s="218"/>
      <c r="K150" s="218"/>
      <c r="L150" s="218"/>
      <c r="M150" s="219"/>
    </row>
    <row r="151" spans="7:13" x14ac:dyDescent="0.25">
      <c r="G151" s="179"/>
      <c r="H151" s="83"/>
      <c r="I151" s="217"/>
      <c r="J151" s="218"/>
      <c r="K151" s="218"/>
      <c r="L151" s="218"/>
      <c r="M151" s="219"/>
    </row>
    <row r="152" spans="7:13" x14ac:dyDescent="0.25">
      <c r="G152" s="179"/>
      <c r="H152" s="83"/>
      <c r="I152" s="217"/>
      <c r="J152" s="218"/>
      <c r="K152" s="218"/>
      <c r="L152" s="218"/>
      <c r="M152" s="219"/>
    </row>
    <row r="153" spans="7:13" x14ac:dyDescent="0.25">
      <c r="G153" s="179"/>
      <c r="H153" s="83"/>
      <c r="I153" s="217"/>
      <c r="J153" s="218"/>
      <c r="K153" s="218"/>
      <c r="L153" s="218"/>
      <c r="M153" s="219"/>
    </row>
    <row r="154" spans="7:13" x14ac:dyDescent="0.25">
      <c r="G154" s="179"/>
      <c r="H154" s="83"/>
      <c r="I154" s="217"/>
      <c r="J154" s="218"/>
      <c r="K154" s="218"/>
      <c r="L154" s="218"/>
      <c r="M154" s="219"/>
    </row>
    <row r="155" spans="7:13" x14ac:dyDescent="0.25">
      <c r="G155" s="179"/>
      <c r="H155" s="83"/>
      <c r="I155" s="217"/>
      <c r="J155" s="218"/>
      <c r="K155" s="218"/>
      <c r="L155" s="218"/>
      <c r="M155" s="219"/>
    </row>
    <row r="156" spans="7:13" x14ac:dyDescent="0.25">
      <c r="G156" s="179"/>
      <c r="H156" s="83"/>
      <c r="I156" s="217"/>
      <c r="J156" s="218"/>
      <c r="K156" s="218"/>
      <c r="L156" s="218"/>
      <c r="M156" s="219"/>
    </row>
    <row r="157" spans="7:13" x14ac:dyDescent="0.25">
      <c r="G157" s="179"/>
      <c r="H157" s="83"/>
      <c r="I157" s="217"/>
      <c r="J157" s="218"/>
      <c r="K157" s="218"/>
      <c r="L157" s="218"/>
      <c r="M157" s="219"/>
    </row>
    <row r="158" spans="7:13" x14ac:dyDescent="0.25">
      <c r="G158" s="179"/>
      <c r="H158" s="83"/>
      <c r="I158" s="217"/>
      <c r="J158" s="218"/>
      <c r="K158" s="218"/>
      <c r="L158" s="218"/>
      <c r="M158" s="219"/>
    </row>
    <row r="159" spans="7:13" x14ac:dyDescent="0.25">
      <c r="G159" s="179"/>
      <c r="H159" s="83"/>
      <c r="I159" s="217"/>
      <c r="J159" s="218"/>
      <c r="K159" s="218"/>
      <c r="L159" s="218"/>
      <c r="M159" s="219"/>
    </row>
    <row r="160" spans="7:13" x14ac:dyDescent="0.25">
      <c r="G160" s="179"/>
      <c r="H160" s="83"/>
      <c r="I160" s="217"/>
      <c r="J160" s="218"/>
      <c r="K160" s="218"/>
      <c r="L160" s="218"/>
      <c r="M160" s="219"/>
    </row>
    <row r="161" spans="7:13" x14ac:dyDescent="0.25">
      <c r="G161" s="179"/>
      <c r="H161" s="83"/>
      <c r="I161" s="217"/>
      <c r="J161" s="218"/>
      <c r="K161" s="218"/>
      <c r="L161" s="218"/>
      <c r="M161" s="219"/>
    </row>
    <row r="162" spans="7:13" x14ac:dyDescent="0.25">
      <c r="G162" s="179"/>
      <c r="H162" s="83"/>
      <c r="I162" s="217"/>
      <c r="J162" s="218"/>
      <c r="K162" s="218"/>
      <c r="L162" s="218"/>
      <c r="M162" s="219"/>
    </row>
    <row r="163" spans="7:13" x14ac:dyDescent="0.25">
      <c r="G163" s="179"/>
      <c r="H163" s="83"/>
      <c r="I163" s="217"/>
      <c r="J163" s="218"/>
      <c r="K163" s="218"/>
      <c r="L163" s="218"/>
      <c r="M163" s="219"/>
    </row>
    <row r="164" spans="7:13" x14ac:dyDescent="0.25">
      <c r="G164" s="179"/>
      <c r="H164" s="83"/>
      <c r="I164" s="217"/>
      <c r="J164" s="218"/>
      <c r="K164" s="218"/>
      <c r="L164" s="218"/>
      <c r="M164" s="219"/>
    </row>
    <row r="165" spans="7:13" x14ac:dyDescent="0.25">
      <c r="G165" s="179"/>
      <c r="H165" s="83"/>
      <c r="I165" s="217"/>
      <c r="J165" s="218"/>
      <c r="K165" s="218"/>
      <c r="L165" s="218"/>
      <c r="M165" s="219"/>
    </row>
    <row r="166" spans="7:13" x14ac:dyDescent="0.25">
      <c r="G166" s="179"/>
      <c r="H166" s="83"/>
      <c r="I166" s="217"/>
      <c r="J166" s="218"/>
      <c r="K166" s="218"/>
      <c r="L166" s="218"/>
      <c r="M166" s="219"/>
    </row>
    <row r="167" spans="7:13" x14ac:dyDescent="0.25">
      <c r="G167" s="179"/>
      <c r="H167" s="83"/>
      <c r="I167" s="217"/>
      <c r="J167" s="218"/>
      <c r="K167" s="218"/>
      <c r="L167" s="218"/>
      <c r="M167" s="219"/>
    </row>
    <row r="168" spans="7:13" x14ac:dyDescent="0.25">
      <c r="G168" s="179"/>
      <c r="H168" s="83"/>
      <c r="I168" s="217"/>
      <c r="J168" s="218"/>
      <c r="K168" s="218"/>
      <c r="L168" s="218"/>
      <c r="M168" s="219"/>
    </row>
    <row r="169" spans="7:13" x14ac:dyDescent="0.25">
      <c r="G169" s="179"/>
      <c r="H169" s="83"/>
      <c r="I169" s="217"/>
      <c r="J169" s="218"/>
      <c r="K169" s="218"/>
      <c r="L169" s="218"/>
      <c r="M169" s="219"/>
    </row>
    <row r="170" spans="7:13" x14ac:dyDescent="0.25">
      <c r="G170" s="179"/>
      <c r="H170" s="83"/>
      <c r="I170" s="217"/>
      <c r="J170" s="218"/>
      <c r="K170" s="218"/>
      <c r="L170" s="218"/>
      <c r="M170" s="219"/>
    </row>
    <row r="171" spans="7:13" x14ac:dyDescent="0.25">
      <c r="G171" s="179"/>
      <c r="H171" s="83"/>
      <c r="I171" s="217"/>
      <c r="J171" s="218"/>
      <c r="K171" s="218"/>
      <c r="L171" s="218"/>
      <c r="M171" s="219"/>
    </row>
    <row r="172" spans="7:13" x14ac:dyDescent="0.25">
      <c r="G172" s="179"/>
      <c r="H172" s="83"/>
      <c r="I172" s="217"/>
      <c r="J172" s="218"/>
      <c r="K172" s="218"/>
      <c r="L172" s="218"/>
      <c r="M172" s="219"/>
    </row>
    <row r="173" spans="7:13" x14ac:dyDescent="0.25">
      <c r="G173" s="179"/>
      <c r="H173" s="83"/>
      <c r="I173" s="217"/>
      <c r="J173" s="218"/>
      <c r="K173" s="218"/>
      <c r="L173" s="218"/>
      <c r="M173" s="219"/>
    </row>
    <row r="174" spans="7:13" x14ac:dyDescent="0.25">
      <c r="G174" s="179"/>
      <c r="H174" s="83"/>
      <c r="I174" s="217"/>
      <c r="J174" s="218"/>
      <c r="K174" s="218"/>
      <c r="L174" s="218"/>
      <c r="M174" s="219"/>
    </row>
    <row r="175" spans="7:13" x14ac:dyDescent="0.25">
      <c r="G175" s="179"/>
      <c r="H175" s="83"/>
      <c r="I175" s="217"/>
      <c r="J175" s="218"/>
      <c r="K175" s="218"/>
      <c r="L175" s="218"/>
      <c r="M175" s="219"/>
    </row>
    <row r="176" spans="7:13" x14ac:dyDescent="0.25">
      <c r="G176" s="179"/>
      <c r="H176" s="83"/>
      <c r="I176" s="217"/>
      <c r="J176" s="218"/>
      <c r="K176" s="218"/>
      <c r="L176" s="218"/>
      <c r="M176" s="219"/>
    </row>
    <row r="177" spans="7:13" x14ac:dyDescent="0.25">
      <c r="G177" s="179"/>
      <c r="H177" s="83"/>
      <c r="I177" s="217"/>
      <c r="J177" s="218"/>
      <c r="K177" s="218"/>
      <c r="L177" s="218"/>
      <c r="M177" s="219"/>
    </row>
    <row r="178" spans="7:13" x14ac:dyDescent="0.25">
      <c r="G178" s="179"/>
      <c r="H178" s="83"/>
      <c r="I178" s="217"/>
      <c r="J178" s="218"/>
      <c r="K178" s="218"/>
      <c r="L178" s="218"/>
      <c r="M178" s="219"/>
    </row>
    <row r="179" spans="7:13" x14ac:dyDescent="0.25">
      <c r="G179" s="179"/>
      <c r="H179" s="83"/>
      <c r="I179" s="217"/>
      <c r="J179" s="218"/>
      <c r="K179" s="218"/>
      <c r="L179" s="218"/>
      <c r="M179" s="219"/>
    </row>
    <row r="180" spans="7:13" x14ac:dyDescent="0.25">
      <c r="G180" s="179"/>
      <c r="H180" s="83"/>
      <c r="I180" s="217"/>
      <c r="J180" s="218"/>
      <c r="K180" s="218"/>
      <c r="L180" s="218"/>
      <c r="M180" s="219"/>
    </row>
    <row r="181" spans="7:13" x14ac:dyDescent="0.25">
      <c r="G181" s="179"/>
      <c r="H181" s="83"/>
      <c r="I181" s="217"/>
      <c r="J181" s="218"/>
      <c r="K181" s="218"/>
      <c r="L181" s="218"/>
      <c r="M181" s="219"/>
    </row>
    <row r="182" spans="7:13" x14ac:dyDescent="0.25">
      <c r="G182" s="179"/>
      <c r="H182" s="83"/>
      <c r="I182" s="217"/>
      <c r="J182" s="218"/>
      <c r="K182" s="218"/>
      <c r="L182" s="218"/>
      <c r="M182" s="219"/>
    </row>
    <row r="183" spans="7:13" x14ac:dyDescent="0.25">
      <c r="G183" s="179"/>
      <c r="H183" s="83"/>
      <c r="I183" s="217"/>
      <c r="J183" s="218"/>
      <c r="K183" s="218"/>
      <c r="L183" s="218"/>
      <c r="M183" s="219"/>
    </row>
    <row r="184" spans="7:13" x14ac:dyDescent="0.25">
      <c r="G184" s="179"/>
      <c r="H184" s="83"/>
      <c r="I184" s="217"/>
      <c r="J184" s="218"/>
      <c r="K184" s="218"/>
      <c r="L184" s="218"/>
      <c r="M184" s="219"/>
    </row>
    <row r="185" spans="7:13" x14ac:dyDescent="0.25">
      <c r="G185" s="179"/>
      <c r="H185" s="83"/>
      <c r="I185" s="217"/>
      <c r="J185" s="218"/>
      <c r="K185" s="218"/>
      <c r="L185" s="218"/>
      <c r="M185" s="219"/>
    </row>
    <row r="186" spans="7:13" x14ac:dyDescent="0.25">
      <c r="G186" s="179"/>
      <c r="H186" s="83"/>
      <c r="I186" s="217"/>
      <c r="J186" s="218"/>
      <c r="K186" s="218"/>
      <c r="L186" s="218"/>
      <c r="M186" s="219"/>
    </row>
    <row r="187" spans="7:13" x14ac:dyDescent="0.25">
      <c r="G187" s="179"/>
      <c r="H187" s="83"/>
      <c r="I187" s="217"/>
      <c r="J187" s="218"/>
      <c r="K187" s="218"/>
      <c r="L187" s="218"/>
      <c r="M187" s="219"/>
    </row>
    <row r="188" spans="7:13" x14ac:dyDescent="0.25">
      <c r="G188" s="179"/>
      <c r="H188" s="83"/>
      <c r="I188" s="217"/>
      <c r="J188" s="218"/>
      <c r="K188" s="218"/>
      <c r="L188" s="218"/>
      <c r="M188" s="219"/>
    </row>
    <row r="189" spans="7:13" x14ac:dyDescent="0.25">
      <c r="G189" s="179"/>
      <c r="H189" s="83"/>
      <c r="I189" s="217"/>
      <c r="J189" s="218"/>
      <c r="K189" s="218"/>
      <c r="L189" s="218"/>
      <c r="M189" s="219"/>
    </row>
    <row r="190" spans="7:13" x14ac:dyDescent="0.25">
      <c r="G190" s="179"/>
      <c r="H190" s="83"/>
      <c r="I190" s="217"/>
      <c r="J190" s="218"/>
      <c r="K190" s="218"/>
      <c r="L190" s="218"/>
      <c r="M190" s="219"/>
    </row>
    <row r="191" spans="7:13" x14ac:dyDescent="0.25">
      <c r="G191" s="179"/>
      <c r="H191" s="83"/>
      <c r="I191" s="217"/>
      <c r="J191" s="218"/>
      <c r="K191" s="218"/>
      <c r="L191" s="218"/>
      <c r="M191" s="219"/>
    </row>
    <row r="192" spans="7:13" x14ac:dyDescent="0.25">
      <c r="G192" s="179"/>
      <c r="H192" s="83"/>
      <c r="I192" s="217"/>
      <c r="J192" s="218"/>
      <c r="K192" s="218"/>
      <c r="L192" s="218"/>
      <c r="M192" s="219"/>
    </row>
    <row r="193" spans="7:13" x14ac:dyDescent="0.25">
      <c r="G193" s="179"/>
      <c r="H193" s="83"/>
      <c r="I193" s="217"/>
      <c r="J193" s="218"/>
      <c r="K193" s="218"/>
      <c r="L193" s="218"/>
      <c r="M193" s="219"/>
    </row>
    <row r="194" spans="7:13" x14ac:dyDescent="0.25">
      <c r="G194" s="179"/>
      <c r="H194" s="83"/>
      <c r="I194" s="217"/>
      <c r="J194" s="218"/>
      <c r="K194" s="218"/>
      <c r="L194" s="218"/>
      <c r="M194" s="219"/>
    </row>
    <row r="195" spans="7:13" x14ac:dyDescent="0.25">
      <c r="G195" s="179"/>
      <c r="H195" s="83"/>
      <c r="I195" s="217"/>
      <c r="J195" s="218"/>
      <c r="K195" s="218"/>
      <c r="L195" s="218"/>
      <c r="M195" s="219"/>
    </row>
    <row r="196" spans="7:13" x14ac:dyDescent="0.25">
      <c r="G196" s="179"/>
      <c r="H196" s="83"/>
      <c r="I196" s="217"/>
      <c r="J196" s="218"/>
      <c r="K196" s="218"/>
      <c r="L196" s="218"/>
      <c r="M196" s="219"/>
    </row>
    <row r="197" spans="7:13" x14ac:dyDescent="0.25">
      <c r="G197" s="179"/>
      <c r="H197" s="83"/>
      <c r="I197" s="217"/>
      <c r="J197" s="218"/>
      <c r="K197" s="218"/>
      <c r="L197" s="218"/>
      <c r="M197" s="219"/>
    </row>
    <row r="198" spans="7:13" x14ac:dyDescent="0.25">
      <c r="G198" s="179"/>
      <c r="H198" s="83"/>
      <c r="I198" s="217"/>
      <c r="J198" s="218"/>
      <c r="K198" s="218"/>
      <c r="L198" s="218"/>
      <c r="M198" s="219"/>
    </row>
    <row r="199" spans="7:13" x14ac:dyDescent="0.25">
      <c r="G199" s="179"/>
      <c r="H199" s="83"/>
      <c r="I199" s="217"/>
      <c r="J199" s="218"/>
      <c r="K199" s="218"/>
      <c r="L199" s="218"/>
      <c r="M199" s="219"/>
    </row>
    <row r="200" spans="7:13" x14ac:dyDescent="0.25">
      <c r="G200" s="179"/>
      <c r="H200" s="83"/>
      <c r="I200" s="217"/>
      <c r="J200" s="218"/>
      <c r="K200" s="218"/>
      <c r="L200" s="218"/>
      <c r="M200" s="219"/>
    </row>
    <row r="201" spans="7:13" x14ac:dyDescent="0.25">
      <c r="G201" s="179"/>
      <c r="H201" s="83"/>
      <c r="I201" s="217"/>
      <c r="J201" s="218"/>
      <c r="K201" s="218"/>
      <c r="L201" s="218"/>
      <c r="M201" s="219"/>
    </row>
    <row r="202" spans="7:13" x14ac:dyDescent="0.25">
      <c r="G202" s="179"/>
      <c r="H202" s="83"/>
      <c r="I202" s="217"/>
      <c r="J202" s="218"/>
      <c r="K202" s="218"/>
      <c r="L202" s="218"/>
      <c r="M202" s="219"/>
    </row>
    <row r="203" spans="7:13" x14ac:dyDescent="0.25">
      <c r="G203" s="179"/>
      <c r="H203" s="83"/>
      <c r="I203" s="217"/>
      <c r="J203" s="218"/>
      <c r="K203" s="218"/>
      <c r="L203" s="218"/>
      <c r="M203" s="219"/>
    </row>
    <row r="204" spans="7:13" x14ac:dyDescent="0.25">
      <c r="G204" s="179"/>
      <c r="H204" s="83"/>
      <c r="I204" s="217"/>
      <c r="J204" s="218"/>
      <c r="K204" s="218"/>
      <c r="L204" s="218"/>
      <c r="M204" s="219"/>
    </row>
    <row r="205" spans="7:13" x14ac:dyDescent="0.25">
      <c r="G205" s="179"/>
      <c r="H205" s="83"/>
      <c r="I205" s="217"/>
      <c r="J205" s="218"/>
      <c r="K205" s="218"/>
      <c r="L205" s="218"/>
      <c r="M205" s="219"/>
    </row>
    <row r="206" spans="7:13" x14ac:dyDescent="0.25">
      <c r="G206" s="179"/>
      <c r="H206" s="83"/>
      <c r="I206" s="217"/>
      <c r="J206" s="218"/>
      <c r="K206" s="218"/>
      <c r="L206" s="218"/>
      <c r="M206" s="219"/>
    </row>
    <row r="207" spans="7:13" x14ac:dyDescent="0.25">
      <c r="G207" s="179"/>
      <c r="H207" s="83"/>
      <c r="I207" s="217"/>
      <c r="J207" s="218"/>
      <c r="K207" s="218"/>
      <c r="L207" s="218"/>
      <c r="M207" s="219"/>
    </row>
    <row r="208" spans="7:13" x14ac:dyDescent="0.25">
      <c r="G208" s="179"/>
      <c r="H208" s="83"/>
      <c r="I208" s="217"/>
      <c r="J208" s="218"/>
      <c r="K208" s="218"/>
      <c r="L208" s="218"/>
      <c r="M208" s="219"/>
    </row>
    <row r="209" spans="7:13" x14ac:dyDescent="0.25">
      <c r="G209" s="179"/>
      <c r="H209" s="83"/>
      <c r="I209" s="217"/>
      <c r="J209" s="218"/>
      <c r="K209" s="218"/>
      <c r="L209" s="218"/>
      <c r="M209" s="219"/>
    </row>
    <row r="210" spans="7:13" x14ac:dyDescent="0.25">
      <c r="G210" s="179"/>
      <c r="H210" s="83"/>
      <c r="I210" s="217"/>
      <c r="J210" s="218"/>
      <c r="K210" s="218"/>
      <c r="L210" s="218"/>
      <c r="M210" s="219"/>
    </row>
    <row r="211" spans="7:13" x14ac:dyDescent="0.25">
      <c r="G211" s="179"/>
      <c r="H211" s="83"/>
      <c r="I211" s="217"/>
      <c r="J211" s="218"/>
      <c r="K211" s="218"/>
      <c r="L211" s="218"/>
      <c r="M211" s="219"/>
    </row>
    <row r="212" spans="7:13" x14ac:dyDescent="0.25">
      <c r="G212" s="179"/>
      <c r="H212" s="83"/>
      <c r="I212" s="217"/>
      <c r="J212" s="218"/>
      <c r="K212" s="218"/>
      <c r="L212" s="218"/>
      <c r="M212" s="219"/>
    </row>
    <row r="213" spans="7:13" x14ac:dyDescent="0.25">
      <c r="G213" s="179"/>
      <c r="H213" s="83"/>
      <c r="I213" s="217"/>
      <c r="J213" s="218"/>
      <c r="K213" s="218"/>
      <c r="L213" s="218"/>
      <c r="M213" s="219"/>
    </row>
    <row r="214" spans="7:13" x14ac:dyDescent="0.25">
      <c r="G214" s="179"/>
      <c r="H214" s="83"/>
      <c r="I214" s="217"/>
      <c r="J214" s="218"/>
      <c r="K214" s="218"/>
      <c r="L214" s="218"/>
      <c r="M214" s="219"/>
    </row>
    <row r="215" spans="7:13" x14ac:dyDescent="0.25">
      <c r="G215" s="179"/>
      <c r="H215" s="83"/>
      <c r="I215" s="217"/>
      <c r="J215" s="218"/>
      <c r="K215" s="218"/>
      <c r="L215" s="218"/>
      <c r="M215" s="219"/>
    </row>
    <row r="216" spans="7:13" x14ac:dyDescent="0.25">
      <c r="G216" s="179"/>
      <c r="H216" s="83"/>
      <c r="I216" s="217"/>
      <c r="J216" s="218"/>
      <c r="K216" s="218"/>
      <c r="L216" s="218"/>
      <c r="M216" s="219"/>
    </row>
    <row r="217" spans="7:13" x14ac:dyDescent="0.25">
      <c r="G217" s="179"/>
      <c r="H217" s="83"/>
      <c r="I217" s="217"/>
      <c r="J217" s="218"/>
      <c r="K217" s="218"/>
      <c r="L217" s="218"/>
      <c r="M217" s="219"/>
    </row>
    <row r="218" spans="7:13" x14ac:dyDescent="0.25">
      <c r="G218" s="179"/>
      <c r="H218" s="83"/>
      <c r="I218" s="217"/>
      <c r="J218" s="218"/>
      <c r="K218" s="218"/>
      <c r="L218" s="218"/>
      <c r="M218" s="219"/>
    </row>
    <row r="219" spans="7:13" x14ac:dyDescent="0.25">
      <c r="G219" s="179"/>
      <c r="H219" s="83"/>
      <c r="I219" s="217"/>
      <c r="J219" s="218"/>
      <c r="K219" s="218"/>
      <c r="L219" s="218"/>
      <c r="M219" s="219"/>
    </row>
    <row r="220" spans="7:13" x14ac:dyDescent="0.25">
      <c r="G220" s="179"/>
      <c r="H220" s="83"/>
      <c r="I220" s="217"/>
      <c r="J220" s="218"/>
      <c r="K220" s="218"/>
      <c r="L220" s="218"/>
      <c r="M220" s="219"/>
    </row>
    <row r="221" spans="7:13" x14ac:dyDescent="0.25">
      <c r="G221" s="179"/>
      <c r="H221" s="83"/>
      <c r="I221" s="217"/>
      <c r="J221" s="218"/>
      <c r="K221" s="218"/>
      <c r="L221" s="218"/>
      <c r="M221" s="219"/>
    </row>
    <row r="222" spans="7:13" x14ac:dyDescent="0.25">
      <c r="G222" s="179"/>
      <c r="H222" s="83"/>
      <c r="I222" s="217"/>
      <c r="J222" s="218"/>
      <c r="K222" s="218"/>
      <c r="L222" s="218"/>
      <c r="M222" s="219"/>
    </row>
    <row r="223" spans="7:13" x14ac:dyDescent="0.25">
      <c r="G223" s="179"/>
      <c r="H223" s="83"/>
      <c r="I223" s="217"/>
      <c r="J223" s="218"/>
      <c r="K223" s="218"/>
      <c r="L223" s="218"/>
      <c r="M223" s="219"/>
    </row>
    <row r="224" spans="7:13" x14ac:dyDescent="0.25">
      <c r="G224" s="179"/>
      <c r="H224" s="83"/>
      <c r="I224" s="217"/>
      <c r="J224" s="218"/>
      <c r="K224" s="218"/>
      <c r="L224" s="218"/>
      <c r="M224" s="219"/>
    </row>
    <row r="225" spans="7:13" x14ac:dyDescent="0.25">
      <c r="G225" s="179"/>
      <c r="H225" s="83"/>
      <c r="I225" s="217"/>
      <c r="J225" s="218"/>
      <c r="K225" s="218"/>
      <c r="L225" s="218"/>
      <c r="M225" s="219"/>
    </row>
    <row r="226" spans="7:13" x14ac:dyDescent="0.25">
      <c r="G226" s="179"/>
      <c r="H226" s="83"/>
      <c r="I226" s="217"/>
      <c r="J226" s="218"/>
      <c r="K226" s="218"/>
      <c r="L226" s="218"/>
      <c r="M226" s="219"/>
    </row>
    <row r="227" spans="7:13" x14ac:dyDescent="0.25">
      <c r="G227" s="179"/>
      <c r="H227" s="83"/>
      <c r="I227" s="217"/>
      <c r="J227" s="218"/>
      <c r="K227" s="218"/>
      <c r="L227" s="218"/>
      <c r="M227" s="219"/>
    </row>
    <row r="228" spans="7:13" x14ac:dyDescent="0.25">
      <c r="G228" s="179"/>
      <c r="H228" s="83"/>
      <c r="I228" s="217"/>
      <c r="J228" s="218"/>
      <c r="K228" s="218"/>
      <c r="L228" s="218"/>
      <c r="M228" s="219"/>
    </row>
    <row r="229" spans="7:13" x14ac:dyDescent="0.25">
      <c r="G229" s="179"/>
      <c r="H229" s="83"/>
      <c r="I229" s="217"/>
      <c r="J229" s="218"/>
      <c r="K229" s="218"/>
      <c r="L229" s="218"/>
      <c r="M229" s="219"/>
    </row>
    <row r="230" spans="7:13" x14ac:dyDescent="0.25">
      <c r="G230" s="179"/>
      <c r="H230" s="83"/>
      <c r="I230" s="217"/>
      <c r="J230" s="218"/>
      <c r="K230" s="218"/>
      <c r="L230" s="218"/>
      <c r="M230" s="219"/>
    </row>
    <row r="231" spans="7:13" x14ac:dyDescent="0.25">
      <c r="G231" s="179"/>
      <c r="H231" s="83"/>
      <c r="I231" s="217"/>
      <c r="J231" s="218"/>
      <c r="K231" s="218"/>
      <c r="L231" s="218"/>
      <c r="M231" s="219"/>
    </row>
    <row r="232" spans="7:13" x14ac:dyDescent="0.25">
      <c r="G232" s="179"/>
      <c r="H232" s="83"/>
      <c r="I232" s="217"/>
      <c r="J232" s="218"/>
      <c r="K232" s="218"/>
      <c r="L232" s="218"/>
      <c r="M232" s="219"/>
    </row>
    <row r="233" spans="7:13" x14ac:dyDescent="0.25">
      <c r="G233" s="179"/>
      <c r="H233" s="83"/>
      <c r="I233" s="217"/>
      <c r="J233" s="218"/>
      <c r="K233" s="218"/>
      <c r="L233" s="218"/>
      <c r="M233" s="219"/>
    </row>
    <row r="234" spans="7:13" x14ac:dyDescent="0.25">
      <c r="G234" s="179"/>
      <c r="H234" s="83"/>
      <c r="I234" s="217"/>
      <c r="J234" s="218"/>
      <c r="K234" s="218"/>
      <c r="L234" s="218"/>
      <c r="M234" s="219"/>
    </row>
    <row r="235" spans="7:13" x14ac:dyDescent="0.25">
      <c r="G235" s="179"/>
      <c r="H235" s="83"/>
      <c r="I235" s="217"/>
      <c r="J235" s="218"/>
      <c r="K235" s="218"/>
      <c r="L235" s="218"/>
      <c r="M235" s="219"/>
    </row>
    <row r="236" spans="7:13" x14ac:dyDescent="0.25">
      <c r="G236" s="179"/>
      <c r="H236" s="83"/>
      <c r="I236" s="217"/>
      <c r="J236" s="218"/>
      <c r="K236" s="218"/>
      <c r="L236" s="218"/>
      <c r="M236" s="219"/>
    </row>
    <row r="237" spans="7:13" x14ac:dyDescent="0.25">
      <c r="G237" s="179"/>
      <c r="H237" s="83"/>
      <c r="I237" s="217"/>
      <c r="J237" s="218"/>
      <c r="K237" s="218"/>
      <c r="L237" s="218"/>
      <c r="M237" s="219"/>
    </row>
    <row r="238" spans="7:13" x14ac:dyDescent="0.25">
      <c r="G238" s="179"/>
      <c r="H238" s="83"/>
      <c r="I238" s="217"/>
      <c r="J238" s="218"/>
      <c r="K238" s="218"/>
      <c r="L238" s="218"/>
      <c r="M238" s="219"/>
    </row>
    <row r="239" spans="7:13" x14ac:dyDescent="0.25">
      <c r="G239" s="179"/>
      <c r="H239" s="83"/>
      <c r="I239" s="217"/>
      <c r="J239" s="218"/>
      <c r="K239" s="218"/>
      <c r="L239" s="218"/>
      <c r="M239" s="219"/>
    </row>
    <row r="240" spans="7:13" x14ac:dyDescent="0.25">
      <c r="G240" s="179"/>
      <c r="H240" s="83"/>
      <c r="I240" s="217"/>
      <c r="J240" s="218"/>
      <c r="K240" s="218"/>
      <c r="L240" s="218"/>
      <c r="M240" s="219"/>
    </row>
    <row r="241" spans="7:13" x14ac:dyDescent="0.25">
      <c r="G241" s="179"/>
      <c r="H241" s="83"/>
      <c r="I241" s="217"/>
      <c r="J241" s="218"/>
      <c r="K241" s="218"/>
      <c r="L241" s="218"/>
      <c r="M241" s="219"/>
    </row>
    <row r="242" spans="7:13" x14ac:dyDescent="0.25">
      <c r="G242" s="179"/>
      <c r="H242" s="83"/>
      <c r="I242" s="217"/>
      <c r="J242" s="218"/>
      <c r="K242" s="218"/>
      <c r="L242" s="218"/>
      <c r="M242" s="219"/>
    </row>
    <row r="243" spans="7:13" x14ac:dyDescent="0.25">
      <c r="G243" s="179"/>
      <c r="H243" s="83"/>
      <c r="I243" s="217"/>
      <c r="J243" s="218"/>
      <c r="K243" s="218"/>
      <c r="L243" s="218"/>
      <c r="M243" s="219"/>
    </row>
    <row r="244" spans="7:13" x14ac:dyDescent="0.25">
      <c r="G244" s="179"/>
      <c r="H244" s="83"/>
      <c r="I244" s="217"/>
      <c r="J244" s="218"/>
      <c r="K244" s="218"/>
      <c r="L244" s="218"/>
      <c r="M244" s="219"/>
    </row>
    <row r="245" spans="7:13" x14ac:dyDescent="0.25">
      <c r="G245" s="179"/>
      <c r="H245" s="83"/>
      <c r="I245" s="217"/>
      <c r="J245" s="218"/>
      <c r="K245" s="218"/>
      <c r="L245" s="218"/>
      <c r="M245" s="219"/>
    </row>
    <row r="246" spans="7:13" x14ac:dyDescent="0.25">
      <c r="G246" s="179"/>
      <c r="H246" s="83"/>
      <c r="I246" s="217"/>
      <c r="J246" s="218"/>
      <c r="K246" s="218"/>
      <c r="L246" s="218"/>
      <c r="M246" s="219"/>
    </row>
    <row r="247" spans="7:13" x14ac:dyDescent="0.25">
      <c r="G247" s="179"/>
      <c r="H247" s="83"/>
      <c r="I247" s="217"/>
      <c r="J247" s="218"/>
      <c r="K247" s="218"/>
      <c r="L247" s="218"/>
      <c r="M247" s="219"/>
    </row>
    <row r="248" spans="7:13" x14ac:dyDescent="0.25">
      <c r="G248" s="179"/>
      <c r="H248" s="83"/>
      <c r="I248" s="217"/>
      <c r="J248" s="218"/>
      <c r="K248" s="218"/>
      <c r="L248" s="218"/>
      <c r="M248" s="219"/>
    </row>
    <row r="249" spans="7:13" x14ac:dyDescent="0.25">
      <c r="G249" s="179"/>
      <c r="H249" s="83"/>
      <c r="I249" s="217"/>
      <c r="J249" s="218"/>
      <c r="K249" s="218"/>
      <c r="L249" s="218"/>
      <c r="M249" s="219"/>
    </row>
    <row r="250" spans="7:13" x14ac:dyDescent="0.25">
      <c r="G250" s="179"/>
      <c r="H250" s="83"/>
      <c r="I250" s="217"/>
      <c r="J250" s="218"/>
      <c r="K250" s="218"/>
      <c r="L250" s="218"/>
      <c r="M250" s="219"/>
    </row>
    <row r="251" spans="7:13" x14ac:dyDescent="0.25">
      <c r="G251" s="179"/>
      <c r="H251" s="83"/>
      <c r="I251" s="217"/>
      <c r="J251" s="218"/>
      <c r="K251" s="218"/>
      <c r="L251" s="218"/>
      <c r="M251" s="219"/>
    </row>
    <row r="252" spans="7:13" x14ac:dyDescent="0.25">
      <c r="G252" s="179"/>
      <c r="H252" s="83"/>
      <c r="I252" s="217"/>
      <c r="J252" s="218"/>
      <c r="K252" s="218"/>
      <c r="L252" s="218"/>
      <c r="M252" s="219"/>
    </row>
    <row r="253" spans="7:13" x14ac:dyDescent="0.25">
      <c r="G253" s="179"/>
      <c r="H253" s="83"/>
      <c r="I253" s="217"/>
      <c r="J253" s="218"/>
      <c r="K253" s="218"/>
      <c r="L253" s="218"/>
      <c r="M253" s="219"/>
    </row>
  </sheetData>
  <sheetProtection algorithmName="SHA-512" hashValue="l5fTFJKuoLYLsj/6VjBKwvpk/pFQkUMpNQd4aOk8EbhioZqjFODzrnYVoy+2XMmyUhH7ZCbm+QQLSnNnk9z02g==" saltValue="Ed6SqWVhRi4HMnTOIarRNA==" spinCount="100000" sheet="1" objects="1" scenarios="1"/>
  <mergeCells count="286">
    <mergeCell ref="D59:E60"/>
    <mergeCell ref="D63:E64"/>
    <mergeCell ref="D61:E62"/>
    <mergeCell ref="D65:E66"/>
    <mergeCell ref="J65:J66"/>
    <mergeCell ref="K65:K66"/>
    <mergeCell ref="J59:J60"/>
    <mergeCell ref="K59:K60"/>
    <mergeCell ref="J61:J62"/>
    <mergeCell ref="K61:K62"/>
    <mergeCell ref="J63:J64"/>
    <mergeCell ref="K63:K64"/>
    <mergeCell ref="H65:H66"/>
    <mergeCell ref="I65:I66"/>
    <mergeCell ref="H63:H64"/>
    <mergeCell ref="H59:H60"/>
    <mergeCell ref="I59:I60"/>
    <mergeCell ref="A2:C2"/>
    <mergeCell ref="G14:H14"/>
    <mergeCell ref="G15:H15"/>
    <mergeCell ref="J49:J50"/>
    <mergeCell ref="H49:H50"/>
    <mergeCell ref="D45:E48"/>
    <mergeCell ref="D49:E50"/>
    <mergeCell ref="D51:E52"/>
    <mergeCell ref="D57:E58"/>
    <mergeCell ref="H45:H48"/>
    <mergeCell ref="H43:K43"/>
    <mergeCell ref="D53:E55"/>
    <mergeCell ref="D56:E56"/>
    <mergeCell ref="E8:I8"/>
    <mergeCell ref="E2:I2"/>
    <mergeCell ref="E3:I3"/>
    <mergeCell ref="E4:I4"/>
    <mergeCell ref="E5:I5"/>
    <mergeCell ref="E6:I6"/>
    <mergeCell ref="K49:K50"/>
    <mergeCell ref="H51:H52"/>
    <mergeCell ref="I51:I52"/>
    <mergeCell ref="H57:H58"/>
    <mergeCell ref="I57:I58"/>
    <mergeCell ref="N15:AC15"/>
    <mergeCell ref="G16:H16"/>
    <mergeCell ref="O16:T16"/>
    <mergeCell ref="U16:V16"/>
    <mergeCell ref="AC17:AC21"/>
    <mergeCell ref="G18:H18"/>
    <mergeCell ref="O18:T18"/>
    <mergeCell ref="U18:V18"/>
    <mergeCell ref="O19:T19"/>
    <mergeCell ref="U19:V19"/>
    <mergeCell ref="O20:T20"/>
    <mergeCell ref="G17:H17"/>
    <mergeCell ref="O17:T17"/>
    <mergeCell ref="U17:V17"/>
    <mergeCell ref="U20:V20"/>
    <mergeCell ref="O21:T21"/>
    <mergeCell ref="U21:V21"/>
    <mergeCell ref="N57:Q57"/>
    <mergeCell ref="N36:W36"/>
    <mergeCell ref="N37:R37"/>
    <mergeCell ref="N38:R39"/>
    <mergeCell ref="S39:W39"/>
    <mergeCell ref="N41:W41"/>
    <mergeCell ref="N42:R42"/>
    <mergeCell ref="J45:J48"/>
    <mergeCell ref="K45:K48"/>
    <mergeCell ref="J51:J52"/>
    <mergeCell ref="K51:K52"/>
    <mergeCell ref="N44:R44"/>
    <mergeCell ref="H53:H55"/>
    <mergeCell ref="H61:H62"/>
    <mergeCell ref="I61:I62"/>
    <mergeCell ref="I70:M70"/>
    <mergeCell ref="I69:M69"/>
    <mergeCell ref="I71:M71"/>
    <mergeCell ref="I72:M72"/>
    <mergeCell ref="I73:M73"/>
    <mergeCell ref="I74:M74"/>
    <mergeCell ref="J53:J55"/>
    <mergeCell ref="K53:K55"/>
    <mergeCell ref="J57:J58"/>
    <mergeCell ref="K57:K58"/>
    <mergeCell ref="I75:M75"/>
    <mergeCell ref="I76:M76"/>
    <mergeCell ref="I77:M77"/>
    <mergeCell ref="I78:M78"/>
    <mergeCell ref="I79:M79"/>
    <mergeCell ref="I80:M80"/>
    <mergeCell ref="I81:M81"/>
    <mergeCell ref="I82:M82"/>
    <mergeCell ref="I83:M83"/>
    <mergeCell ref="I84:M84"/>
    <mergeCell ref="I85:M85"/>
    <mergeCell ref="I86:M86"/>
    <mergeCell ref="I87:M87"/>
    <mergeCell ref="I88:M88"/>
    <mergeCell ref="I89:M89"/>
    <mergeCell ref="I90:M90"/>
    <mergeCell ref="I91:M91"/>
    <mergeCell ref="I92:M92"/>
    <mergeCell ref="I93:M93"/>
    <mergeCell ref="I94:M94"/>
    <mergeCell ref="I95:M95"/>
    <mergeCell ref="I96:M96"/>
    <mergeCell ref="I97:M97"/>
    <mergeCell ref="I98:M98"/>
    <mergeCell ref="I99:M99"/>
    <mergeCell ref="I100:M100"/>
    <mergeCell ref="I101:M101"/>
    <mergeCell ref="I102:M102"/>
    <mergeCell ref="I103:M103"/>
    <mergeCell ref="I104:M104"/>
    <mergeCell ref="I105:M105"/>
    <mergeCell ref="I106:M106"/>
    <mergeCell ref="I107:M107"/>
    <mergeCell ref="I108:M108"/>
    <mergeCell ref="I109:M109"/>
    <mergeCell ref="I110:M110"/>
    <mergeCell ref="I111:M111"/>
    <mergeCell ref="I112:M112"/>
    <mergeCell ref="I113:M113"/>
    <mergeCell ref="I114:M114"/>
    <mergeCell ref="I115:M115"/>
    <mergeCell ref="I116:M116"/>
    <mergeCell ref="I117:M117"/>
    <mergeCell ref="I118:M118"/>
    <mergeCell ref="I119:M119"/>
    <mergeCell ref="I120:M120"/>
    <mergeCell ref="I121:M121"/>
    <mergeCell ref="I122:M122"/>
    <mergeCell ref="I123:M123"/>
    <mergeCell ref="I124:M124"/>
    <mergeCell ref="I125:M125"/>
    <mergeCell ref="I126:M126"/>
    <mergeCell ref="I127:M127"/>
    <mergeCell ref="I128:M128"/>
    <mergeCell ref="I129:M129"/>
    <mergeCell ref="I130:M130"/>
    <mergeCell ref="I131:M131"/>
    <mergeCell ref="I132:M132"/>
    <mergeCell ref="I133:M133"/>
    <mergeCell ref="I134:M134"/>
    <mergeCell ref="I135:M135"/>
    <mergeCell ref="I136:M136"/>
    <mergeCell ref="I137:M137"/>
    <mergeCell ref="I138:M138"/>
    <mergeCell ref="I139:M139"/>
    <mergeCell ref="I140:M140"/>
    <mergeCell ref="I141:M141"/>
    <mergeCell ref="I142:M142"/>
    <mergeCell ref="I143:M143"/>
    <mergeCell ref="I144:M144"/>
    <mergeCell ref="I145:M145"/>
    <mergeCell ref="I146:M146"/>
    <mergeCell ref="I147:M147"/>
    <mergeCell ref="I148:M148"/>
    <mergeCell ref="I149:M149"/>
    <mergeCell ref="I150:M150"/>
    <mergeCell ref="I151:M151"/>
    <mergeCell ref="I152:M152"/>
    <mergeCell ref="I153:M153"/>
    <mergeCell ref="I154:M154"/>
    <mergeCell ref="I155:M155"/>
    <mergeCell ref="I156:M156"/>
    <mergeCell ref="I157:M157"/>
    <mergeCell ref="I158:M158"/>
    <mergeCell ref="I159:M159"/>
    <mergeCell ref="I160:M160"/>
    <mergeCell ref="I161:M161"/>
    <mergeCell ref="I162:M162"/>
    <mergeCell ref="I163:M163"/>
    <mergeCell ref="I164:M164"/>
    <mergeCell ref="I165:M165"/>
    <mergeCell ref="I166:M166"/>
    <mergeCell ref="I167:M167"/>
    <mergeCell ref="I168:M168"/>
    <mergeCell ref="I169:M169"/>
    <mergeCell ref="I170:M170"/>
    <mergeCell ref="I171:M171"/>
    <mergeCell ref="I172:M172"/>
    <mergeCell ref="I173:M173"/>
    <mergeCell ref="I174:M174"/>
    <mergeCell ref="I175:M175"/>
    <mergeCell ref="I176:M176"/>
    <mergeCell ref="I177:M177"/>
    <mergeCell ref="I178:M178"/>
    <mergeCell ref="I179:M179"/>
    <mergeCell ref="I180:M180"/>
    <mergeCell ref="I181:M181"/>
    <mergeCell ref="I182:M182"/>
    <mergeCell ref="I183:M183"/>
    <mergeCell ref="I184:M184"/>
    <mergeCell ref="I185:M185"/>
    <mergeCell ref="I186:M186"/>
    <mergeCell ref="I187:M187"/>
    <mergeCell ref="I188:M188"/>
    <mergeCell ref="I189:M189"/>
    <mergeCell ref="I190:M190"/>
    <mergeCell ref="I191:M191"/>
    <mergeCell ref="I192:M192"/>
    <mergeCell ref="I193:M193"/>
    <mergeCell ref="I194:M194"/>
    <mergeCell ref="I195:M195"/>
    <mergeCell ref="I196:M196"/>
    <mergeCell ref="I197:M197"/>
    <mergeCell ref="I198:M198"/>
    <mergeCell ref="I199:M199"/>
    <mergeCell ref="I200:M200"/>
    <mergeCell ref="I201:M201"/>
    <mergeCell ref="I202:M202"/>
    <mergeCell ref="I203:M203"/>
    <mergeCell ref="I204:M204"/>
    <mergeCell ref="I205:M205"/>
    <mergeCell ref="I206:M206"/>
    <mergeCell ref="I207:M207"/>
    <mergeCell ref="I208:M208"/>
    <mergeCell ref="I209:M209"/>
    <mergeCell ref="I210:M210"/>
    <mergeCell ref="I211:M211"/>
    <mergeCell ref="I212:M212"/>
    <mergeCell ref="I213:M213"/>
    <mergeCell ref="I214:M214"/>
    <mergeCell ref="I215:M215"/>
    <mergeCell ref="I216:M216"/>
    <mergeCell ref="I217:M217"/>
    <mergeCell ref="I218:M218"/>
    <mergeCell ref="I219:M219"/>
    <mergeCell ref="I220:M220"/>
    <mergeCell ref="I221:M221"/>
    <mergeCell ref="I222:M222"/>
    <mergeCell ref="I223:M223"/>
    <mergeCell ref="I224:M224"/>
    <mergeCell ref="I225:M225"/>
    <mergeCell ref="I226:M226"/>
    <mergeCell ref="I227:M227"/>
    <mergeCell ref="N24:W24"/>
    <mergeCell ref="N49:R49"/>
    <mergeCell ref="N50:R50"/>
    <mergeCell ref="N51:R51"/>
    <mergeCell ref="N60:W62"/>
    <mergeCell ref="O25:T25"/>
    <mergeCell ref="U25:V25"/>
    <mergeCell ref="O26:T26"/>
    <mergeCell ref="U26:V26"/>
    <mergeCell ref="O27:T27"/>
    <mergeCell ref="U27:V27"/>
    <mergeCell ref="O28:T28"/>
    <mergeCell ref="U28:V28"/>
    <mergeCell ref="O29:T29"/>
    <mergeCell ref="U29:V29"/>
    <mergeCell ref="N55:W55"/>
    <mergeCell ref="N48:R48"/>
    <mergeCell ref="N43:R43"/>
    <mergeCell ref="N58:Q58"/>
    <mergeCell ref="N59:Q59"/>
    <mergeCell ref="N45:R45"/>
    <mergeCell ref="N46:R46"/>
    <mergeCell ref="N47:R47"/>
    <mergeCell ref="N56:Q56"/>
    <mergeCell ref="I251:M251"/>
    <mergeCell ref="I252:M252"/>
    <mergeCell ref="I253:M253"/>
    <mergeCell ref="I243:M243"/>
    <mergeCell ref="I244:M244"/>
    <mergeCell ref="I245:M245"/>
    <mergeCell ref="I246:M246"/>
    <mergeCell ref="I247:M247"/>
    <mergeCell ref="I248:M248"/>
    <mergeCell ref="I237:M237"/>
    <mergeCell ref="I238:M238"/>
    <mergeCell ref="I239:M239"/>
    <mergeCell ref="I240:M240"/>
    <mergeCell ref="I241:M241"/>
    <mergeCell ref="I242:M242"/>
    <mergeCell ref="I249:M249"/>
    <mergeCell ref="I250:M250"/>
    <mergeCell ref="I228:M228"/>
    <mergeCell ref="I229:M229"/>
    <mergeCell ref="I230:M230"/>
    <mergeCell ref="I231:M231"/>
    <mergeCell ref="I232:M232"/>
    <mergeCell ref="I233:M233"/>
    <mergeCell ref="I234:M234"/>
    <mergeCell ref="I235:M235"/>
    <mergeCell ref="I236:M23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Layout" topLeftCell="A16" zoomScaleNormal="85" workbookViewId="0">
      <selection activeCell="D28" sqref="D28"/>
    </sheetView>
  </sheetViews>
  <sheetFormatPr baseColWidth="10" defaultRowHeight="15" x14ac:dyDescent="0.25"/>
  <cols>
    <col min="1" max="1" width="12.28515625" bestFit="1" customWidth="1"/>
    <col min="2" max="2" width="12.5703125" bestFit="1" customWidth="1"/>
    <col min="3" max="3" width="14.140625" customWidth="1"/>
    <col min="4" max="4" width="36.42578125" customWidth="1"/>
    <col min="5" max="6" width="14.85546875" customWidth="1"/>
  </cols>
  <sheetData>
    <row r="1" spans="1:6" ht="15.75" x14ac:dyDescent="0.25">
      <c r="A1" s="377" t="s">
        <v>218</v>
      </c>
      <c r="B1" s="377"/>
      <c r="C1" s="377"/>
      <c r="D1" s="377"/>
      <c r="E1" s="377"/>
      <c r="F1" s="377"/>
    </row>
    <row r="3" spans="1:6" x14ac:dyDescent="0.25">
      <c r="A3" s="413" t="str">
        <f>+"Medellín, "&amp;Datos!C36&amp;""</f>
        <v>Medellín, 15 de mayo de  2020</v>
      </c>
      <c r="B3" s="413"/>
      <c r="C3" s="413"/>
      <c r="D3" s="413"/>
      <c r="E3" s="413"/>
      <c r="F3" s="413"/>
    </row>
    <row r="5" spans="1:6" ht="31.5" customHeight="1" x14ac:dyDescent="0.25">
      <c r="A5" s="310" t="str">
        <f>+"La Rectoría de la Institución certifica que "&amp;Datos!C6&amp;", identificado con NIT. "&amp;Datos!C7&amp;", entregó a satisfacción los siguientes artículos o servicios:"</f>
        <v>La Rectoría de la Institución certifica que EDITORIAL LIBROS Y LIBROS S.A L Y L S.A, identificado con NIT. 860.531.396-1, entregó a satisfacción los siguientes artículos o servicios:</v>
      </c>
      <c r="B5" s="310"/>
      <c r="C5" s="310"/>
      <c r="D5" s="310"/>
      <c r="E5" s="310"/>
      <c r="F5" s="310"/>
    </row>
    <row r="7" spans="1:6" ht="30" x14ac:dyDescent="0.25">
      <c r="A7" s="176" t="str">
        <f>Datos!H69</f>
        <v>CANTIDADES</v>
      </c>
      <c r="B7" s="326" t="str">
        <f>Datos!I69</f>
        <v>DETALLE</v>
      </c>
      <c r="C7" s="327"/>
      <c r="D7" s="328"/>
      <c r="E7" s="175" t="s">
        <v>294</v>
      </c>
      <c r="F7" s="175" t="s">
        <v>295</v>
      </c>
    </row>
    <row r="8" spans="1:6" x14ac:dyDescent="0.25">
      <c r="A8" s="177">
        <f>IF(ISBLANK(Datos!H70),"",Datos!H70)</f>
        <v>110</v>
      </c>
      <c r="B8" s="425" t="str">
        <f>IF(ISBLANK(Datos!I70),"",Datos!I70)</f>
        <v>LENGUAJE 6°</v>
      </c>
      <c r="C8" s="426"/>
      <c r="D8" s="427"/>
      <c r="E8" s="180">
        <f>IF(ISBLANK(Datos!G70),"",Datos!G70)</f>
        <v>14000</v>
      </c>
      <c r="F8" s="180">
        <f>IF(E8="","",IF(A8="",E8,A8*E8))</f>
        <v>1540000</v>
      </c>
    </row>
    <row r="9" spans="1:6" ht="15" customHeight="1" x14ac:dyDescent="0.25">
      <c r="A9" s="177">
        <f>IF(ISBLANK(Datos!H71),"",Datos!H71)</f>
        <v>90</v>
      </c>
      <c r="B9" s="425" t="str">
        <f>IF(ISBLANK(Datos!I71),"",Datos!I71)</f>
        <v>LENGUAJE 7°</v>
      </c>
      <c r="C9" s="426"/>
      <c r="D9" s="427"/>
      <c r="E9" s="180">
        <f>IF(ISBLANK(Datos!G71),"",Datos!G71)</f>
        <v>14000</v>
      </c>
      <c r="F9" s="180">
        <f t="shared" ref="F9:F19" si="0">IF(E9="","",IF(A9="",E9,A9*E9))</f>
        <v>1260000</v>
      </c>
    </row>
    <row r="10" spans="1:6" ht="14.45" customHeight="1" x14ac:dyDescent="0.25">
      <c r="A10" s="177">
        <f>IF(ISBLANK(Datos!H72),"",Datos!H72)</f>
        <v>90</v>
      </c>
      <c r="B10" s="425" t="str">
        <f>IF(ISBLANK(Datos!I72),"",Datos!I72)</f>
        <v>LENGUAJE 8°</v>
      </c>
      <c r="C10" s="426"/>
      <c r="D10" s="427"/>
      <c r="E10" s="180">
        <f>IF(ISBLANK(Datos!G72),"",Datos!G72)</f>
        <v>14000</v>
      </c>
      <c r="F10" s="180">
        <f t="shared" si="0"/>
        <v>1260000</v>
      </c>
    </row>
    <row r="11" spans="1:6" ht="15" customHeight="1" x14ac:dyDescent="0.25">
      <c r="A11" s="177">
        <f>IF(ISBLANK(Datos!H73),"",Datos!H73)</f>
        <v>50</v>
      </c>
      <c r="B11" s="425" t="str">
        <f>IF(ISBLANK(Datos!I73),"",Datos!I73)</f>
        <v>LENGUAJE 9°</v>
      </c>
      <c r="C11" s="426"/>
      <c r="D11" s="427"/>
      <c r="E11" s="180">
        <f>IF(ISBLANK(Datos!G73),"",Datos!G73)</f>
        <v>14000</v>
      </c>
      <c r="F11" s="180">
        <f t="shared" si="0"/>
        <v>700000</v>
      </c>
    </row>
    <row r="12" spans="1:6" ht="15" customHeight="1" x14ac:dyDescent="0.25">
      <c r="A12" s="177">
        <f>IF(ISBLANK(Datos!H74),"",Datos!H74)</f>
        <v>50</v>
      </c>
      <c r="B12" s="425" t="str">
        <f>IF(ISBLANK(Datos!I74),"",Datos!I74)</f>
        <v>LENGUAJE 10°</v>
      </c>
      <c r="C12" s="426"/>
      <c r="D12" s="427"/>
      <c r="E12" s="180">
        <f>IF(ISBLANK(Datos!G74),"",Datos!G74)</f>
        <v>14000</v>
      </c>
      <c r="F12" s="180">
        <f t="shared" si="0"/>
        <v>700000</v>
      </c>
    </row>
    <row r="13" spans="1:6" ht="15" customHeight="1" x14ac:dyDescent="0.25">
      <c r="A13" s="177">
        <f>IF(ISBLANK(Datos!H75),"",Datos!H75)</f>
        <v>47</v>
      </c>
      <c r="B13" s="425" t="str">
        <f>IF(ISBLANK(Datos!I75),"",Datos!I75)</f>
        <v>LENGUAJE 11°</v>
      </c>
      <c r="C13" s="426"/>
      <c r="D13" s="427"/>
      <c r="E13" s="180">
        <f>IF(ISBLANK(Datos!G75),"",Datos!G75)</f>
        <v>14000</v>
      </c>
      <c r="F13" s="180">
        <f t="shared" si="0"/>
        <v>658000</v>
      </c>
    </row>
    <row r="14" spans="1:6" ht="15" customHeight="1" x14ac:dyDescent="0.25">
      <c r="A14" s="177">
        <f>IF(ISBLANK(Datos!H76),"",Datos!H76)</f>
        <v>110</v>
      </c>
      <c r="B14" s="425" t="str">
        <f>IF(ISBLANK(Datos!I76),"",Datos!I76)</f>
        <v>MATEMATICAS 6°</v>
      </c>
      <c r="C14" s="426"/>
      <c r="D14" s="427"/>
      <c r="E14" s="180">
        <f>IF(ISBLANK(Datos!G76),"",Datos!G76)</f>
        <v>26000</v>
      </c>
      <c r="F14" s="180">
        <f t="shared" si="0"/>
        <v>2860000</v>
      </c>
    </row>
    <row r="15" spans="1:6" ht="15" customHeight="1" x14ac:dyDescent="0.25">
      <c r="A15" s="177">
        <f>IF(ISBLANK(Datos!H77),"",Datos!H77)</f>
        <v>90</v>
      </c>
      <c r="B15" s="425" t="str">
        <f>IF(ISBLANK(Datos!I77),"",Datos!I77)</f>
        <v>MATEMATICAS 7°</v>
      </c>
      <c r="C15" s="426"/>
      <c r="D15" s="427"/>
      <c r="E15" s="180">
        <f>IF(ISBLANK(Datos!G77),"",Datos!G77)</f>
        <v>26000</v>
      </c>
      <c r="F15" s="180">
        <f t="shared" si="0"/>
        <v>2340000</v>
      </c>
    </row>
    <row r="16" spans="1:6" ht="15" customHeight="1" x14ac:dyDescent="0.25">
      <c r="A16" s="177">
        <f>IF(ISBLANK(Datos!H78),"",Datos!H78)</f>
        <v>90</v>
      </c>
      <c r="B16" s="425" t="str">
        <f>IF(ISBLANK(Datos!I78),"",Datos!I78)</f>
        <v>MATEMATICAS 8°</v>
      </c>
      <c r="C16" s="426"/>
      <c r="D16" s="427"/>
      <c r="E16" s="180">
        <f>IF(ISBLANK(Datos!G78),"",Datos!G78)</f>
        <v>26000</v>
      </c>
      <c r="F16" s="180">
        <f t="shared" si="0"/>
        <v>2340000</v>
      </c>
    </row>
    <row r="17" spans="1:6" ht="15" customHeight="1" x14ac:dyDescent="0.25">
      <c r="A17" s="177">
        <f>IF(ISBLANK(Datos!H79),"",Datos!H79)</f>
        <v>50</v>
      </c>
      <c r="B17" s="425" t="str">
        <f>IF(ISBLANK(Datos!I79),"",Datos!I79)</f>
        <v>MATEMATICAS 9°</v>
      </c>
      <c r="C17" s="426"/>
      <c r="D17" s="427"/>
      <c r="E17" s="180">
        <f>IF(ISBLANK(Datos!G79),"",Datos!G79)</f>
        <v>26000</v>
      </c>
      <c r="F17" s="180">
        <f t="shared" si="0"/>
        <v>1300000</v>
      </c>
    </row>
    <row r="18" spans="1:6" ht="15" customHeight="1" x14ac:dyDescent="0.25">
      <c r="A18" s="177">
        <f>IF(ISBLANK(Datos!H80),"",Datos!H80)</f>
        <v>50</v>
      </c>
      <c r="B18" s="425" t="str">
        <f>IF(ISBLANK(Datos!I80),"",Datos!I80)</f>
        <v>MATEMATICAS 10°</v>
      </c>
      <c r="C18" s="426"/>
      <c r="D18" s="427"/>
      <c r="E18" s="180">
        <f>IF(ISBLANK(Datos!G80),"",Datos!G80)</f>
        <v>26000</v>
      </c>
      <c r="F18" s="180">
        <f t="shared" si="0"/>
        <v>1300000</v>
      </c>
    </row>
    <row r="19" spans="1:6" ht="15" customHeight="1" x14ac:dyDescent="0.25">
      <c r="A19" s="177">
        <f>IF(ISBLANK(Datos!H81),"",Datos!H81)</f>
        <v>47</v>
      </c>
      <c r="B19" s="425" t="str">
        <f>IF(ISBLANK(Datos!I81),"",Datos!I81)</f>
        <v>MATEMATICAS 11°</v>
      </c>
      <c r="C19" s="426"/>
      <c r="D19" s="427"/>
      <c r="E19" s="180">
        <f>IF(ISBLANK(Datos!G81),"",Datos!G81)</f>
        <v>26000</v>
      </c>
      <c r="F19" s="180">
        <f t="shared" si="0"/>
        <v>1222000</v>
      </c>
    </row>
    <row r="20" spans="1:6" x14ac:dyDescent="0.25">
      <c r="E20" s="182" t="s">
        <v>26</v>
      </c>
      <c r="F20" s="180">
        <f>Datos!I15</f>
        <v>0</v>
      </c>
    </row>
    <row r="23" spans="1:6" ht="28.5" customHeight="1" x14ac:dyDescent="0.25">
      <c r="A23" s="413" t="str">
        <f>+"Por un valor total de "&amp;Datos!C11&amp;" ($"&amp;Datos!C9&amp;")"</f>
        <v>Por un valor total de diez y siete millones doscientos cuarenta mil pesos M/L ($17240000)</v>
      </c>
      <c r="B23" s="413"/>
      <c r="C23" s="413"/>
      <c r="D23" s="413"/>
      <c r="E23" s="413"/>
      <c r="F23" s="413"/>
    </row>
    <row r="29" spans="1:6" ht="51" customHeight="1" x14ac:dyDescent="0.25">
      <c r="C29" s="181"/>
      <c r="D29" s="174" t="str">
        <f>+Datos!B51</f>
        <v>CARLOS MARIO GIRALDO JIMENEZ
Rector</v>
      </c>
      <c r="E29" s="181"/>
      <c r="F29" s="25"/>
    </row>
  </sheetData>
  <mergeCells count="17">
    <mergeCell ref="B11:D11"/>
    <mergeCell ref="B19:D19"/>
    <mergeCell ref="A1:F1"/>
    <mergeCell ref="A3:F3"/>
    <mergeCell ref="A5:F5"/>
    <mergeCell ref="B7:D7"/>
    <mergeCell ref="B8:D8"/>
    <mergeCell ref="B9:D9"/>
    <mergeCell ref="B10:D10"/>
    <mergeCell ref="A23:F23"/>
    <mergeCell ref="B17:D17"/>
    <mergeCell ref="B18:D18"/>
    <mergeCell ref="B12:D12"/>
    <mergeCell ref="B13:D13"/>
    <mergeCell ref="B14:D14"/>
    <mergeCell ref="B15:D15"/>
    <mergeCell ref="B16:D16"/>
  </mergeCells>
  <pageMargins left="0.7" right="0.7" top="1.5216666666666667" bottom="1.0029166666666667" header="0.3" footer="0.3"/>
  <pageSetup scale="86" orientation="portrait" r:id="rId1"/>
  <headerFooter>
    <oddHeader>&amp;C&amp;G</oddHeader>
    <oddFooter>&amp;C&amp;G
Página &amp;P de &amp;N&amp;RRecibo a Satisfacción</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Layout" topLeftCell="A22" zoomScaleNormal="100" workbookViewId="0">
      <selection activeCell="B31" sqref="B31"/>
    </sheetView>
  </sheetViews>
  <sheetFormatPr baseColWidth="10" defaultRowHeight="15" x14ac:dyDescent="0.25"/>
  <cols>
    <col min="3" max="3" width="6.5703125" customWidth="1"/>
    <col min="7" max="7" width="15.42578125" customWidth="1"/>
    <col min="8" max="8" width="16" customWidth="1"/>
  </cols>
  <sheetData>
    <row r="1" spans="1:8" ht="15.75" x14ac:dyDescent="0.25">
      <c r="A1" s="377" t="s">
        <v>219</v>
      </c>
      <c r="B1" s="377"/>
      <c r="C1" s="377"/>
      <c r="D1" s="377"/>
      <c r="E1" s="377"/>
      <c r="F1" s="377"/>
      <c r="G1" s="377"/>
      <c r="H1" s="377"/>
    </row>
    <row r="2" spans="1:8" ht="9.75" customHeight="1" x14ac:dyDescent="0.25"/>
    <row r="3" spans="1:8" x14ac:dyDescent="0.25">
      <c r="A3" s="432" t="s">
        <v>158</v>
      </c>
      <c r="B3" s="432"/>
      <c r="C3" s="432"/>
      <c r="D3" s="436" t="str">
        <f>+"No. C."&amp;Datos!C35&amp;""</f>
        <v>No. C.005-03-2020</v>
      </c>
      <c r="E3" s="436"/>
      <c r="F3" s="436"/>
      <c r="G3" s="436"/>
      <c r="H3" s="436"/>
    </row>
    <row r="4" spans="1:8" x14ac:dyDescent="0.25">
      <c r="A4" s="432" t="s">
        <v>159</v>
      </c>
      <c r="B4" s="432"/>
      <c r="C4" s="432"/>
      <c r="D4" s="436" t="str">
        <f>+Datos!B49</f>
        <v>INSTITUCIÓN EDUCATIVA JOAQUIN VALLEJO ARBELAEZ</v>
      </c>
      <c r="E4" s="436"/>
      <c r="F4" s="436"/>
      <c r="G4" s="436"/>
      <c r="H4" s="436"/>
    </row>
    <row r="5" spans="1:8" x14ac:dyDescent="0.25">
      <c r="A5" s="432" t="s">
        <v>160</v>
      </c>
      <c r="B5" s="432"/>
      <c r="C5" s="432"/>
      <c r="D5" s="437" t="str">
        <f>Datos!C6</f>
        <v>EDITORIAL LIBROS Y LIBROS S.A L Y L S.A</v>
      </c>
      <c r="E5" s="438"/>
      <c r="F5" s="438"/>
      <c r="G5" s="438"/>
      <c r="H5" s="438"/>
    </row>
    <row r="6" spans="1:8" x14ac:dyDescent="0.25">
      <c r="A6" s="432" t="s">
        <v>161</v>
      </c>
      <c r="B6" s="432"/>
      <c r="C6" s="432"/>
      <c r="D6" s="433" t="str">
        <f>Datos!C8</f>
        <v>Compra de textos escolares de 6° a 11°</v>
      </c>
      <c r="E6" s="434"/>
      <c r="F6" s="434"/>
      <c r="G6" s="434"/>
      <c r="H6" s="435"/>
    </row>
    <row r="7" spans="1:8" x14ac:dyDescent="0.25">
      <c r="A7" s="432" t="s">
        <v>220</v>
      </c>
      <c r="B7" s="432"/>
      <c r="C7" s="432"/>
      <c r="D7" s="436" t="str">
        <f>+"Entre "&amp;Datos!C37&amp;" y "&amp;Datos!C38&amp;""</f>
        <v>Entre 12 de mayo de 2020 y 15 de mayo de  2020</v>
      </c>
      <c r="E7" s="436"/>
      <c r="F7" s="436"/>
      <c r="G7" s="436"/>
      <c r="H7" s="436"/>
    </row>
    <row r="8" spans="1:8" x14ac:dyDescent="0.25">
      <c r="A8" s="432" t="s">
        <v>34</v>
      </c>
      <c r="B8" s="432"/>
      <c r="C8" s="432"/>
      <c r="D8" s="439">
        <f>Datos!C9</f>
        <v>17240000</v>
      </c>
      <c r="E8" s="439"/>
      <c r="F8" s="439"/>
      <c r="G8" s="439"/>
      <c r="H8" s="439"/>
    </row>
    <row r="9" spans="1:8" ht="12.75" customHeight="1" x14ac:dyDescent="0.25">
      <c r="A9" s="4"/>
      <c r="B9" s="4"/>
      <c r="C9" s="4"/>
      <c r="D9" s="4"/>
      <c r="E9" s="4"/>
      <c r="F9" s="4"/>
      <c r="G9" s="4"/>
      <c r="H9" s="4"/>
    </row>
    <row r="10" spans="1:8" ht="33" customHeight="1" x14ac:dyDescent="0.25">
      <c r="A10" s="310" t="str">
        <f>+"En la "&amp;Datos!B49&amp;", las partes suscritas en el Contrato No. C. "&amp;Datos!C35&amp;", hemos decido DAR POR LIQUIDADO EL MISMO en fecha "&amp;Datos!C43&amp;", previas las siguientes"</f>
        <v>En la INSTITUCIÓN EDUCATIVA JOAQUIN VALLEJO ARBELAEZ, las partes suscritas en el Contrato No. C. 005-03-2020, hemos decido DAR POR LIQUIDADO EL MISMO en fecha 15 de mayo de  2020, previas las siguientes</v>
      </c>
      <c r="B10" s="310"/>
      <c r="C10" s="310"/>
      <c r="D10" s="310"/>
      <c r="E10" s="310"/>
      <c r="F10" s="310"/>
      <c r="G10" s="310"/>
      <c r="H10" s="310"/>
    </row>
    <row r="11" spans="1:8" ht="7.5" customHeight="1" x14ac:dyDescent="0.25">
      <c r="A11" s="209"/>
      <c r="B11" s="209"/>
      <c r="C11" s="209"/>
      <c r="D11" s="209"/>
      <c r="E11" s="209"/>
      <c r="F11" s="209"/>
      <c r="G11" s="209"/>
      <c r="H11" s="209"/>
    </row>
    <row r="12" spans="1:8" x14ac:dyDescent="0.25">
      <c r="A12" s="330" t="s">
        <v>167</v>
      </c>
      <c r="B12" s="330"/>
      <c r="C12" s="330"/>
      <c r="D12" s="330"/>
      <c r="E12" s="330"/>
      <c r="F12" s="330"/>
      <c r="G12" s="330"/>
      <c r="H12" s="330"/>
    </row>
    <row r="13" spans="1:8" ht="8.25" customHeight="1" x14ac:dyDescent="0.25">
      <c r="A13" s="30"/>
      <c r="B13" s="30"/>
      <c r="C13" s="30"/>
      <c r="D13" s="30"/>
      <c r="E13" s="30"/>
      <c r="F13" s="30"/>
      <c r="G13" s="30"/>
      <c r="H13" s="30"/>
    </row>
    <row r="14" spans="1:8" ht="22.5" customHeight="1" x14ac:dyDescent="0.25">
      <c r="A14" s="317" t="str">
        <f>+"PRIMERO: Que entre las partes se suscribió el contrato de "&amp;Datos!C8&amp;"  con una vigencia inicial de "&amp;Datos!C21&amp;"."</f>
        <v>PRIMERO: Que entre las partes se suscribió el contrato de Compra de textos escolares de 6° a 11°  con una vigencia inicial de 3 dias.</v>
      </c>
      <c r="B14" s="317"/>
      <c r="C14" s="317"/>
      <c r="D14" s="317"/>
      <c r="E14" s="317"/>
      <c r="F14" s="317"/>
      <c r="G14" s="317"/>
      <c r="H14" s="317"/>
    </row>
    <row r="15" spans="1:8" ht="12.75" customHeight="1" x14ac:dyDescent="0.25">
      <c r="A15" s="44"/>
      <c r="B15" s="44"/>
      <c r="C15" s="44"/>
      <c r="D15" s="44"/>
      <c r="E15" s="44"/>
      <c r="F15" s="44"/>
      <c r="G15" s="44"/>
      <c r="H15" s="44"/>
    </row>
    <row r="16" spans="1:8" x14ac:dyDescent="0.25">
      <c r="A16" s="317" t="s">
        <v>168</v>
      </c>
      <c r="B16" s="317"/>
      <c r="C16" s="317"/>
      <c r="D16" s="317"/>
      <c r="E16" s="317"/>
      <c r="F16" s="317"/>
      <c r="G16" s="317"/>
      <c r="H16" s="317"/>
    </row>
    <row r="17" spans="1:8" ht="8.25" customHeight="1" x14ac:dyDescent="0.25">
      <c r="A17" s="210"/>
      <c r="B17" s="210"/>
      <c r="C17" s="210"/>
      <c r="D17" s="210"/>
      <c r="E17" s="210"/>
      <c r="F17" s="210"/>
      <c r="G17" s="210"/>
      <c r="H17" s="210"/>
    </row>
    <row r="18" spans="1:8" x14ac:dyDescent="0.25">
      <c r="A18" s="330" t="s">
        <v>169</v>
      </c>
      <c r="B18" s="330"/>
      <c r="C18" s="330"/>
      <c r="D18" s="330"/>
      <c r="E18" s="330"/>
      <c r="F18" s="330"/>
      <c r="G18" s="330"/>
      <c r="H18" s="330"/>
    </row>
    <row r="19" spans="1:8" ht="6" customHeight="1" x14ac:dyDescent="0.25">
      <c r="A19" s="30"/>
      <c r="B19" s="30"/>
      <c r="C19" s="30"/>
      <c r="D19" s="30"/>
      <c r="E19" s="30"/>
      <c r="F19" s="30"/>
      <c r="G19" s="30"/>
      <c r="H19" s="30"/>
    </row>
    <row r="20" spans="1:8" ht="111" customHeight="1" x14ac:dyDescent="0.25">
      <c r="A20" s="310" t="str">
        <f>+"PRIMERO: Liquidar de común acuerdo,  el contrato de "&amp;Datos!C8&amp;".
VALOR CONTRATADO:     $"&amp;Datos!C9&amp;"         
VALOR EJECUTADO:          $"&amp;Datos!C9&amp;"           
VALOR PAGADO:                $ "&amp;Datos!K18&amp;"
VALOR RETENIDO:             $ "&amp;Datos!K17&amp;"
VALOR NO EJECUTADO:  $ 0"</f>
        <v>PRIMERO: Liquidar de común acuerdo,  el contrato de Compra de textos escolares de 6° a 11°.
VALOR CONTRATADO:     $17240000         
VALOR EJECUTADO:          $17240000           
VALOR PAGADO:                $ 16809000
VALOR RETENIDO:             $ 431000
VALOR NO EJECUTADO:  $ 0</v>
      </c>
      <c r="B20" s="310"/>
      <c r="C20" s="310"/>
      <c r="D20" s="310"/>
      <c r="E20" s="310"/>
      <c r="F20" s="310"/>
      <c r="G20" s="310"/>
      <c r="H20" s="310"/>
    </row>
    <row r="21" spans="1:8" ht="6" customHeight="1" x14ac:dyDescent="0.25">
      <c r="A21" s="43"/>
      <c r="B21" s="43"/>
      <c r="C21" s="43"/>
      <c r="D21" s="43"/>
      <c r="E21" s="43"/>
      <c r="F21" s="43"/>
      <c r="G21" s="43"/>
      <c r="H21" s="43"/>
    </row>
    <row r="22" spans="1:8" ht="32.25" customHeight="1" x14ac:dyDescent="0.25">
      <c r="A22" s="310" t="str">
        <f>+"SEGUNDO: En consideración del numeral anterior, el contratista  se encuentra a paz y salvo  con la "&amp;Datos!B49&amp;""</f>
        <v>SEGUNDO: En consideración del numeral anterior, el contratista  se encuentra a paz y salvo  con la INSTITUCIÓN EDUCATIVA JOAQUIN VALLEJO ARBELAEZ</v>
      </c>
      <c r="B22" s="310"/>
      <c r="C22" s="310"/>
      <c r="D22" s="310"/>
      <c r="E22" s="310"/>
      <c r="F22" s="310"/>
      <c r="G22" s="310"/>
      <c r="H22" s="310"/>
    </row>
    <row r="23" spans="1:8" ht="4.5" customHeight="1" x14ac:dyDescent="0.25">
      <c r="A23" s="209"/>
      <c r="B23" s="209"/>
      <c r="C23" s="209"/>
      <c r="D23" s="209"/>
      <c r="E23" s="209"/>
      <c r="F23" s="209"/>
      <c r="G23" s="209"/>
      <c r="H23" s="209"/>
    </row>
    <row r="24" spans="1:8" ht="48.75" customHeight="1" x14ac:dyDescent="0.25">
      <c r="A24" s="310" t="str">
        <f>+"TERCERA: Dado el cumplimiento del CONTRATO DE "&amp;Datos!C8&amp;", las partes de común acuerdo dan por terminado y liquidado el contrato, declarando que se encuentran  satisfechas y renuncian a reclamaciones administrativas o judiciales derivadas del mismo. "</f>
        <v xml:space="preserve">TERCERA: Dado el cumplimiento del CONTRATO DE Compra de textos escolares de 6° a 11°, las partes de común acuerdo dan por terminado y liquidado el contrato, declarando que se encuentran  satisfechas y renuncian a reclamaciones administrativas o judiciales derivadas del mismo. </v>
      </c>
      <c r="B24" s="310"/>
      <c r="C24" s="310"/>
      <c r="D24" s="310"/>
      <c r="E24" s="310"/>
      <c r="F24" s="310"/>
      <c r="G24" s="310"/>
      <c r="H24" s="310"/>
    </row>
    <row r="25" spans="1:8" ht="8.25" customHeight="1" x14ac:dyDescent="0.25"/>
    <row r="26" spans="1:8" x14ac:dyDescent="0.25">
      <c r="A26" s="413" t="str">
        <f>+"Para constancia, se firma el "&amp;Datos!C43&amp;", por quienes en ella intervinieron."</f>
        <v>Para constancia, se firma el 15 de mayo de  2020, por quienes en ella intervinieron.</v>
      </c>
      <c r="B26" s="413"/>
      <c r="C26" s="413"/>
      <c r="D26" s="413"/>
      <c r="E26" s="413"/>
      <c r="F26" s="413"/>
      <c r="G26" s="413"/>
      <c r="H26" s="413"/>
    </row>
    <row r="27" spans="1:8" ht="5.25" customHeight="1" x14ac:dyDescent="0.25"/>
    <row r="28" spans="1:8" ht="3" customHeight="1" x14ac:dyDescent="0.25"/>
    <row r="29" spans="1:8" ht="15" customHeight="1" x14ac:dyDescent="0.25">
      <c r="A29" s="431" t="s">
        <v>154</v>
      </c>
      <c r="B29" s="431"/>
      <c r="C29" s="431"/>
      <c r="D29" s="431"/>
      <c r="E29" s="25"/>
      <c r="F29" s="400" t="s">
        <v>155</v>
      </c>
      <c r="G29" s="400"/>
      <c r="H29" s="400"/>
    </row>
    <row r="30" spans="1:8" ht="15" customHeight="1" x14ac:dyDescent="0.25">
      <c r="A30" s="66"/>
      <c r="B30" s="66"/>
      <c r="C30" s="65"/>
      <c r="D30" s="65"/>
      <c r="E30" s="25"/>
      <c r="F30" s="67"/>
      <c r="G30" s="67"/>
      <c r="H30" s="67"/>
    </row>
    <row r="31" spans="1:8" ht="15" customHeight="1" x14ac:dyDescent="0.25">
      <c r="A31" s="66"/>
      <c r="B31" s="66"/>
      <c r="C31" s="65"/>
      <c r="D31" s="65"/>
      <c r="E31" s="25"/>
      <c r="F31" s="67"/>
      <c r="G31" s="67"/>
      <c r="H31" s="67"/>
    </row>
    <row r="32" spans="1:8" x14ac:dyDescent="0.25">
      <c r="A32" s="44"/>
      <c r="B32" s="44"/>
      <c r="C32" s="44"/>
      <c r="D32" s="44"/>
      <c r="E32" s="44"/>
      <c r="G32" s="44"/>
      <c r="H32" s="44"/>
    </row>
    <row r="33" spans="1:8" x14ac:dyDescent="0.25">
      <c r="A33" s="401" t="str">
        <f>+Datos!B51</f>
        <v>CARLOS MARIO GIRALDO JIMENEZ
Rector</v>
      </c>
      <c r="B33" s="401"/>
      <c r="C33" s="401"/>
      <c r="D33" s="401"/>
      <c r="E33" s="64"/>
      <c r="F33" s="428" t="str">
        <f>+""&amp;Datos!C3&amp;"      "</f>
        <v xml:space="preserve">ERNESTO DIAZ CENTENO      </v>
      </c>
      <c r="G33" s="428"/>
      <c r="H33" s="428"/>
    </row>
    <row r="34" spans="1:8" x14ac:dyDescent="0.25">
      <c r="A34" s="402"/>
      <c r="B34" s="402"/>
      <c r="C34" s="402"/>
      <c r="D34" s="402"/>
      <c r="E34" s="64"/>
      <c r="F34" s="430" t="str">
        <f>+"C.C."&amp;Datos!C4&amp;""</f>
        <v>C.C.79.939.198</v>
      </c>
      <c r="G34" s="430"/>
      <c r="H34" s="430"/>
    </row>
    <row r="35" spans="1:8" ht="28.5" customHeight="1" x14ac:dyDescent="0.25">
      <c r="A35" s="429" t="str">
        <f>+"C.C."&amp;Datos!B53&amp;""</f>
        <v>C.C.71.661.819</v>
      </c>
      <c r="B35" s="429"/>
      <c r="C35" s="429"/>
      <c r="D35" s="429"/>
      <c r="E35" s="64"/>
      <c r="F35" s="399" t="str">
        <f>+"Representante legal de "&amp;Datos!C6&amp;""</f>
        <v>Representante legal de EDITORIAL LIBROS Y LIBROS S.A L Y L S.A</v>
      </c>
      <c r="G35" s="399"/>
      <c r="H35" s="399"/>
    </row>
  </sheetData>
  <mergeCells count="29">
    <mergeCell ref="A22:H22"/>
    <mergeCell ref="A24:H24"/>
    <mergeCell ref="A26:H26"/>
    <mergeCell ref="A8:C8"/>
    <mergeCell ref="D8:H8"/>
    <mergeCell ref="A12:H12"/>
    <mergeCell ref="A14:H14"/>
    <mergeCell ref="A20:H20"/>
    <mergeCell ref="A1:H1"/>
    <mergeCell ref="A29:D29"/>
    <mergeCell ref="F29:H29"/>
    <mergeCell ref="A6:C6"/>
    <mergeCell ref="D6:H6"/>
    <mergeCell ref="A10:H10"/>
    <mergeCell ref="A3:C3"/>
    <mergeCell ref="D3:H3"/>
    <mergeCell ref="A4:C4"/>
    <mergeCell ref="D4:H4"/>
    <mergeCell ref="A5:C5"/>
    <mergeCell ref="D5:H5"/>
    <mergeCell ref="A16:H16"/>
    <mergeCell ref="A18:H18"/>
    <mergeCell ref="A7:C7"/>
    <mergeCell ref="D7:H7"/>
    <mergeCell ref="F35:H35"/>
    <mergeCell ref="A33:D34"/>
    <mergeCell ref="F33:H33"/>
    <mergeCell ref="A35:D35"/>
    <mergeCell ref="F34:H34"/>
  </mergeCells>
  <pageMargins left="0.7817708333333333" right="0.46875" top="1.7911458333333334" bottom="1.2171875000000001" header="0.35433070866141736" footer="0.19791666666666666"/>
  <pageSetup scale="95" orientation="portrait" r:id="rId1"/>
  <headerFooter>
    <oddHeader>&amp;C&amp;G</oddHeader>
    <oddFooter>&amp;C&amp;G
Página &amp;P de &amp;N&amp;RActa Liquidación de Contrato</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topLeftCell="A49" zoomScaleNormal="100" workbookViewId="0">
      <selection activeCell="E53" sqref="E53:F53"/>
    </sheetView>
  </sheetViews>
  <sheetFormatPr baseColWidth="10" defaultRowHeight="15" x14ac:dyDescent="0.25"/>
  <cols>
    <col min="8" max="8" width="15.5703125" customWidth="1"/>
  </cols>
  <sheetData>
    <row r="1" spans="1:8" x14ac:dyDescent="0.25">
      <c r="A1" s="312" t="str">
        <f>+" "&amp;Datos!B19&amp;"  "&amp;Datos!C19&amp;""</f>
        <v xml:space="preserve"> ESTUDIOS PREVIOS No. EP.   005-03-2020</v>
      </c>
      <c r="B1" s="312"/>
      <c r="C1" s="312"/>
      <c r="D1" s="312"/>
      <c r="E1" s="312"/>
      <c r="F1" s="312"/>
      <c r="G1" s="312"/>
      <c r="H1" s="312"/>
    </row>
    <row r="2" spans="1:8" x14ac:dyDescent="0.25">
      <c r="A2" s="315" t="str">
        <f>+"Fecha: "&amp;Datos!J45&amp;" "</f>
        <v xml:space="preserve">Fecha: 30 de abril de 2020 </v>
      </c>
      <c r="B2" s="315"/>
      <c r="C2" s="315"/>
      <c r="D2" s="315"/>
      <c r="E2" s="315"/>
      <c r="F2" s="315"/>
      <c r="G2" s="315"/>
      <c r="H2" s="315"/>
    </row>
    <row r="3" spans="1:8" ht="10.5" customHeight="1" x14ac:dyDescent="0.25"/>
    <row r="4" spans="1:8" ht="107.25" customHeight="1" x14ac:dyDescent="0.25">
      <c r="A4" s="310" t="str">
        <f>+"DEFINICIÓN DE LA NECESIDAD: La Institución Educativa debe garantizar la continuidad en el servicio educativo que presta, siendo  esencial: "&amp;Datos!E8&amp;". Estos materiales y/o servicios están acordes con las necesidades priorizadas y requerimientos establecidos en el plan general de compras para el normal funcionamiento de la entidad."</f>
        <v>DEFINICIÓN DE LA NECESIDAD: La Institución Educativa debe garantizar la continuidad en el servicio educativo que presta, siendo  esencial: Compra de textos escolares de matemáticas y leengua castellana para los grados sexto, septimo, octavo, noveno, decimo y once con el fin de avanzar en la educacion y proveer conocimiento durante la contingencia por el COVID 19,  ya que la gran mayoria de los alumnos no cuenta con acceso a medios virtuales para el apoyo de las actividades educativas. Con esto son beneficiados los alumnos de secundaria de la institucion.. Estos materiales y/o servicios están acordes con las necesidades priorizadas y requerimientos establecidos en el plan general de compras para el normal funcionamiento de la entidad.</v>
      </c>
      <c r="B4" s="310"/>
      <c r="C4" s="310"/>
      <c r="D4" s="310"/>
      <c r="E4" s="310"/>
      <c r="F4" s="310"/>
      <c r="G4" s="310"/>
      <c r="H4" s="310"/>
    </row>
    <row r="5" spans="1:8" x14ac:dyDescent="0.25">
      <c r="A5" s="151"/>
      <c r="B5" s="151"/>
      <c r="C5" s="151"/>
      <c r="D5" s="151"/>
      <c r="E5" s="151"/>
      <c r="F5" s="151"/>
      <c r="G5" s="151"/>
      <c r="H5" s="151"/>
    </row>
    <row r="6" spans="1:8" ht="21" customHeight="1" x14ac:dyDescent="0.25">
      <c r="A6" s="313" t="str">
        <f>+"OBJETO A CONTRATAR: "&amp;Datos!C8&amp;". "</f>
        <v xml:space="preserve">OBJETO A CONTRATAR: Compra de textos escolares de 6° a 11°. </v>
      </c>
      <c r="B6" s="313"/>
      <c r="C6" s="313"/>
      <c r="D6" s="313"/>
      <c r="E6" s="313"/>
      <c r="F6" s="313"/>
      <c r="G6" s="313"/>
      <c r="H6" s="313"/>
    </row>
    <row r="7" spans="1:8" x14ac:dyDescent="0.25">
      <c r="A7" s="151"/>
      <c r="B7" s="151"/>
      <c r="C7" s="151"/>
      <c r="D7" s="151"/>
      <c r="E7" s="151"/>
      <c r="F7" s="151"/>
      <c r="G7" s="151"/>
      <c r="H7" s="151"/>
    </row>
    <row r="8" spans="1:8" ht="32.25" customHeight="1" x14ac:dyDescent="0.25">
      <c r="A8" s="310" t="s">
        <v>236</v>
      </c>
      <c r="B8" s="310"/>
      <c r="C8" s="310"/>
      <c r="D8" s="310"/>
      <c r="E8" s="310"/>
      <c r="F8" s="310"/>
      <c r="G8" s="310"/>
      <c r="H8" s="310"/>
    </row>
    <row r="9" spans="1:8" x14ac:dyDescent="0.25">
      <c r="A9" s="36"/>
      <c r="B9" s="36"/>
      <c r="C9" s="36"/>
      <c r="D9" s="36"/>
      <c r="E9" s="36"/>
      <c r="F9" s="36"/>
      <c r="G9" s="36"/>
      <c r="H9" s="36"/>
    </row>
    <row r="10" spans="1:8" ht="13.5" customHeight="1" x14ac:dyDescent="0.25">
      <c r="A10" s="314" t="str">
        <f>Datos!H69</f>
        <v>CANTIDADES</v>
      </c>
      <c r="B10" s="314"/>
      <c r="C10" s="314" t="str">
        <f>Datos!I69</f>
        <v>DETALLE</v>
      </c>
      <c r="D10" s="314"/>
      <c r="E10" s="314"/>
      <c r="F10" s="314"/>
      <c r="G10" s="314"/>
      <c r="H10" s="314"/>
    </row>
    <row r="11" spans="1:8" ht="18" customHeight="1" x14ac:dyDescent="0.25">
      <c r="A11" s="308">
        <f>IF(ISBLANK(Datos!H70),"",Datos!H70)</f>
        <v>110</v>
      </c>
      <c r="B11" s="308"/>
      <c r="C11" s="307" t="str">
        <f>IF(ISBLANK(Datos!I70),"",Datos!I70)</f>
        <v>LENGUAJE 6°</v>
      </c>
      <c r="D11" s="307"/>
      <c r="E11" s="307"/>
      <c r="F11" s="307"/>
      <c r="G11" s="307"/>
      <c r="H11" s="307"/>
    </row>
    <row r="12" spans="1:8" ht="17.25" customHeight="1" x14ac:dyDescent="0.25">
      <c r="A12" s="308">
        <f>IF(ISBLANK(Datos!H71),"",Datos!H71)</f>
        <v>90</v>
      </c>
      <c r="B12" s="308"/>
      <c r="C12" s="307" t="str">
        <f>IF(ISBLANK(Datos!I71),"",Datos!I71)</f>
        <v>LENGUAJE 7°</v>
      </c>
      <c r="D12" s="307"/>
      <c r="E12" s="307"/>
      <c r="F12" s="307"/>
      <c r="G12" s="307"/>
      <c r="H12" s="307"/>
    </row>
    <row r="13" spans="1:8" ht="17.25" customHeight="1" x14ac:dyDescent="0.25">
      <c r="A13" s="308">
        <f>IF(ISBLANK(Datos!H72),"",Datos!H72)</f>
        <v>90</v>
      </c>
      <c r="B13" s="308"/>
      <c r="C13" s="307" t="str">
        <f>IF(ISBLANK(Datos!I72),"",Datos!I72)</f>
        <v>LENGUAJE 8°</v>
      </c>
      <c r="D13" s="307"/>
      <c r="E13" s="307"/>
      <c r="F13" s="307"/>
      <c r="G13" s="307"/>
      <c r="H13" s="307"/>
    </row>
    <row r="14" spans="1:8" ht="17.25" customHeight="1" x14ac:dyDescent="0.25">
      <c r="A14" s="308">
        <f>IF(ISBLANK(Datos!H73),"",Datos!H73)</f>
        <v>50</v>
      </c>
      <c r="B14" s="308"/>
      <c r="C14" s="307" t="str">
        <f>IF(ISBLANK(Datos!I73),"",Datos!I73)</f>
        <v>LENGUAJE 9°</v>
      </c>
      <c r="D14" s="307"/>
      <c r="E14" s="307"/>
      <c r="F14" s="307"/>
      <c r="G14" s="307"/>
      <c r="H14" s="307"/>
    </row>
    <row r="15" spans="1:8" ht="17.25" customHeight="1" x14ac:dyDescent="0.25">
      <c r="A15" s="308">
        <f>IF(ISBLANK(Datos!H74),"",Datos!H74)</f>
        <v>50</v>
      </c>
      <c r="B15" s="308"/>
      <c r="C15" s="307" t="str">
        <f>IF(ISBLANK(Datos!I74),"",Datos!I74)</f>
        <v>LENGUAJE 10°</v>
      </c>
      <c r="D15" s="307"/>
      <c r="E15" s="307"/>
      <c r="F15" s="307"/>
      <c r="G15" s="307"/>
      <c r="H15" s="307"/>
    </row>
    <row r="16" spans="1:8" ht="17.25" customHeight="1" x14ac:dyDescent="0.25">
      <c r="A16" s="308">
        <f>IF(ISBLANK(Datos!H75),"",Datos!H75)</f>
        <v>47</v>
      </c>
      <c r="B16" s="308"/>
      <c r="C16" s="307" t="str">
        <f>IF(ISBLANK(Datos!I75),"",Datos!I75)</f>
        <v>LENGUAJE 11°</v>
      </c>
      <c r="D16" s="307"/>
      <c r="E16" s="307"/>
      <c r="F16" s="307"/>
      <c r="G16" s="307"/>
      <c r="H16" s="307"/>
    </row>
    <row r="17" spans="1:8" ht="17.25" customHeight="1" x14ac:dyDescent="0.25">
      <c r="A17" s="308">
        <f>IF(ISBLANK(Datos!H76),"",Datos!H76)</f>
        <v>110</v>
      </c>
      <c r="B17" s="308"/>
      <c r="C17" s="307" t="str">
        <f>IF(ISBLANK(Datos!I76),"",Datos!I76)</f>
        <v>MATEMATICAS 6°</v>
      </c>
      <c r="D17" s="307"/>
      <c r="E17" s="307"/>
      <c r="F17" s="307"/>
      <c r="G17" s="307"/>
      <c r="H17" s="307"/>
    </row>
    <row r="18" spans="1:8" ht="17.25" customHeight="1" x14ac:dyDescent="0.25">
      <c r="A18" s="308">
        <f>IF(ISBLANK(Datos!H77),"",Datos!H77)</f>
        <v>90</v>
      </c>
      <c r="B18" s="308"/>
      <c r="C18" s="307" t="str">
        <f>IF(ISBLANK(Datos!I77),"",Datos!I77)</f>
        <v>MATEMATICAS 7°</v>
      </c>
      <c r="D18" s="307"/>
      <c r="E18" s="307"/>
      <c r="F18" s="307"/>
      <c r="G18" s="307"/>
      <c r="H18" s="307"/>
    </row>
    <row r="19" spans="1:8" ht="17.25" customHeight="1" x14ac:dyDescent="0.25">
      <c r="A19" s="308">
        <f>IF(ISBLANK(Datos!H78),"",Datos!H78)</f>
        <v>90</v>
      </c>
      <c r="B19" s="308"/>
      <c r="C19" s="307" t="str">
        <f>IF(ISBLANK(Datos!I78),"",Datos!I78)</f>
        <v>MATEMATICAS 8°</v>
      </c>
      <c r="D19" s="307"/>
      <c r="E19" s="307"/>
      <c r="F19" s="307"/>
      <c r="G19" s="307"/>
      <c r="H19" s="307"/>
    </row>
    <row r="20" spans="1:8" ht="17.25" customHeight="1" x14ac:dyDescent="0.25">
      <c r="A20" s="308">
        <f>IF(ISBLANK(Datos!H79),"",Datos!H79)</f>
        <v>50</v>
      </c>
      <c r="B20" s="308"/>
      <c r="C20" s="307" t="str">
        <f>IF(ISBLANK(Datos!I79),"",Datos!I79)</f>
        <v>MATEMATICAS 9°</v>
      </c>
      <c r="D20" s="307"/>
      <c r="E20" s="307"/>
      <c r="F20" s="307"/>
      <c r="G20" s="307"/>
      <c r="H20" s="307"/>
    </row>
    <row r="21" spans="1:8" ht="17.25" customHeight="1" x14ac:dyDescent="0.25">
      <c r="A21" s="308">
        <f>IF(ISBLANK(Datos!H80),"",Datos!H80)</f>
        <v>50</v>
      </c>
      <c r="B21" s="308"/>
      <c r="C21" s="307" t="str">
        <f>IF(ISBLANK(Datos!I80),"",Datos!I80)</f>
        <v>MATEMATICAS 10°</v>
      </c>
      <c r="D21" s="307"/>
      <c r="E21" s="307"/>
      <c r="F21" s="307"/>
      <c r="G21" s="307"/>
      <c r="H21" s="307"/>
    </row>
    <row r="22" spans="1:8" ht="17.25" customHeight="1" x14ac:dyDescent="0.25">
      <c r="A22" s="308">
        <f>IF(ISBLANK(Datos!H81),"",Datos!H81)</f>
        <v>47</v>
      </c>
      <c r="B22" s="308"/>
      <c r="C22" s="307" t="str">
        <f>IF(ISBLANK(Datos!I81),"",Datos!I81)</f>
        <v>MATEMATICAS 11°</v>
      </c>
      <c r="D22" s="307"/>
      <c r="E22" s="307"/>
      <c r="F22" s="307"/>
      <c r="G22" s="307"/>
      <c r="H22" s="307"/>
    </row>
    <row r="23" spans="1:8" ht="17.25" customHeight="1" x14ac:dyDescent="0.25">
      <c r="A23" s="213"/>
      <c r="B23" s="213"/>
      <c r="C23" s="214"/>
      <c r="D23" s="214"/>
      <c r="E23" s="214"/>
      <c r="F23" s="214"/>
      <c r="G23" s="214"/>
      <c r="H23" s="214"/>
    </row>
    <row r="24" spans="1:8" ht="49.5" customHeight="1" x14ac:dyDescent="0.25">
      <c r="A24" s="309" t="str">
        <f>+"PRESUPUESTO ASIGNADO: Conforme a las cotizaciones previamente realizadas, se asigna un presupuesto de "&amp;Datos!C22&amp;" ($"&amp;Datos!C20&amp;") mediante el Certificado de Disponibilidad Presupuestal "&amp;Datos!C25&amp;", de "&amp;Datos!C26&amp;"."</f>
        <v>PRESUPUESTO ASIGNADO: Conforme a las cotizaciones previamente realizadas, se asigna un presupuesto de Diez y siete millones trescientos setenta y cuatro mil pesos M/L ($17374000) mediante el Certificado de Disponibilidad Presupuestal 10, de 30 de abril de 2020.</v>
      </c>
      <c r="B24" s="309"/>
      <c r="C24" s="309"/>
      <c r="D24" s="309"/>
      <c r="E24" s="309"/>
      <c r="F24" s="309"/>
      <c r="G24" s="309"/>
      <c r="H24" s="309"/>
    </row>
    <row r="26" spans="1:8" ht="32.25" customHeight="1" x14ac:dyDescent="0.25">
      <c r="A26" s="310" t="str">
        <f>+"MODALIDAD  DE  CONTRATACIÓN: Se trata de un proceso de contratación realizado de conformidad con la reglamentación expedida por el Consejo Directivo mediante "&amp;Datos!B54&amp;"."</f>
        <v>MODALIDAD  DE  CONTRATACIÓN: Se trata de un proceso de contratación realizado de conformidad con la reglamentación expedida por el Consejo Directivo mediante Acuerdo N° 05 del 22 de Abril de 2020.</v>
      </c>
      <c r="B26" s="310"/>
      <c r="C26" s="310"/>
      <c r="D26" s="310"/>
      <c r="E26" s="310"/>
      <c r="F26" s="310"/>
      <c r="G26" s="310"/>
      <c r="H26" s="310"/>
    </row>
    <row r="27" spans="1:8" x14ac:dyDescent="0.25">
      <c r="A27" s="183"/>
      <c r="B27" s="183"/>
      <c r="C27" s="183"/>
      <c r="D27" s="183"/>
      <c r="E27" s="183"/>
      <c r="F27" s="183"/>
      <c r="G27" s="183"/>
      <c r="H27" s="183"/>
    </row>
    <row r="28" spans="1:8" ht="30.75" customHeight="1" x14ac:dyDescent="0.25">
      <c r="A28" s="310" t="s">
        <v>299</v>
      </c>
      <c r="B28" s="310"/>
      <c r="C28" s="310"/>
      <c r="D28" s="310"/>
      <c r="E28" s="310"/>
      <c r="F28" s="310"/>
      <c r="G28" s="310"/>
      <c r="H28" s="310"/>
    </row>
    <row r="29" spans="1:8" ht="305.25" customHeight="1" x14ac:dyDescent="0.25">
      <c r="A29" s="311" t="s">
        <v>329</v>
      </c>
      <c r="B29" s="310"/>
      <c r="C29" s="310"/>
      <c r="D29" s="310"/>
      <c r="E29" s="310"/>
      <c r="F29" s="310"/>
      <c r="G29" s="310"/>
      <c r="H29" s="310"/>
    </row>
    <row r="31" spans="1:8" ht="168" customHeight="1" x14ac:dyDescent="0.25">
      <c r="A31" s="317" t="s">
        <v>288</v>
      </c>
      <c r="B31" s="317"/>
      <c r="C31" s="317"/>
      <c r="D31" s="317"/>
      <c r="E31" s="317"/>
      <c r="F31" s="317"/>
      <c r="G31" s="317"/>
      <c r="H31" s="317"/>
    </row>
    <row r="33" spans="1:8" ht="34.5" customHeight="1" x14ac:dyDescent="0.25">
      <c r="A33" s="316" t="s">
        <v>258</v>
      </c>
      <c r="B33" s="316"/>
      <c r="C33" s="316"/>
      <c r="D33" s="316"/>
      <c r="E33" s="316"/>
      <c r="F33" s="316"/>
      <c r="G33" s="316"/>
      <c r="H33" s="316"/>
    </row>
    <row r="35" spans="1:8" ht="48.75" customHeight="1" x14ac:dyDescent="0.25">
      <c r="A35" s="311" t="s">
        <v>335</v>
      </c>
      <c r="B35" s="310"/>
      <c r="C35" s="310"/>
      <c r="D35" s="310"/>
      <c r="E35" s="310"/>
      <c r="F35" s="310"/>
      <c r="G35" s="310"/>
      <c r="H35" s="310"/>
    </row>
    <row r="36" spans="1:8" ht="228.75" customHeight="1" x14ac:dyDescent="0.25">
      <c r="A36" s="310" t="s">
        <v>328</v>
      </c>
      <c r="B36" s="310"/>
      <c r="C36" s="310"/>
      <c r="D36" s="310"/>
      <c r="E36" s="310"/>
      <c r="F36" s="310"/>
      <c r="G36" s="310"/>
      <c r="H36" s="310"/>
    </row>
    <row r="38" spans="1:8" ht="95.25" customHeight="1" x14ac:dyDescent="0.25">
      <c r="A38" s="311" t="s">
        <v>330</v>
      </c>
      <c r="B38" s="310"/>
      <c r="C38" s="310"/>
      <c r="D38" s="310"/>
      <c r="E38" s="310"/>
      <c r="F38" s="310"/>
      <c r="G38" s="310"/>
      <c r="H38" s="310"/>
    </row>
    <row r="40" spans="1:8" ht="114" customHeight="1" x14ac:dyDescent="0.25">
      <c r="A40" s="313" t="s">
        <v>337</v>
      </c>
      <c r="B40" s="310"/>
      <c r="C40" s="310"/>
      <c r="D40" s="310"/>
      <c r="E40" s="310"/>
      <c r="F40" s="310"/>
      <c r="G40" s="310"/>
      <c r="H40" s="310"/>
    </row>
    <row r="41" spans="1:8" x14ac:dyDescent="0.25">
      <c r="A41" s="48"/>
      <c r="B41" s="49"/>
      <c r="C41" s="49"/>
      <c r="D41" s="49"/>
      <c r="E41" s="49"/>
      <c r="F41" s="49"/>
      <c r="G41" s="49"/>
      <c r="H41" s="49"/>
    </row>
    <row r="42" spans="1:8" ht="71.25" customHeight="1" x14ac:dyDescent="0.25">
      <c r="A42" s="318" t="s">
        <v>331</v>
      </c>
      <c r="B42" s="318"/>
      <c r="C42" s="318"/>
      <c r="D42" s="318"/>
      <c r="E42" s="318"/>
      <c r="F42" s="318"/>
      <c r="G42" s="318"/>
      <c r="H42" s="318"/>
    </row>
    <row r="43" spans="1:8" ht="88.5" customHeight="1" x14ac:dyDescent="0.25">
      <c r="A43" s="161"/>
      <c r="B43" s="310" t="str">
        <f>+"• El estudio de mercado de este proceso se realizó con la siguiente metodología: "&amp;Datos!C44&amp;". Y conforme a las cotizaciones previamente realizadas, se asigna un presupuesto promedio aproximado de "&amp;Datos!C22&amp;" ($"&amp;Datos!C20&amp;") mediante el Certificado de Disponibilidad Presupuestal Nº "&amp;Datos!C25&amp;", del "&amp;Datos!C26&amp;"."</f>
        <v>• El estudio de mercado de este proceso se realizó con la siguiente metodología: Recepción de cotizaciones al correo electronico mariogiraldo2011@gmail.com. Y conforme a las cotizaciones previamente realizadas, se asigna un presupuesto promedio aproximado de Diez y siete millones trescientos setenta y cuatro mil pesos M/L ($17374000) mediante el Certificado de Disponibilidad Presupuestal Nº 10, del 30 de abril de 2020.</v>
      </c>
      <c r="C43" s="310"/>
      <c r="D43" s="310"/>
      <c r="E43" s="310"/>
      <c r="F43" s="310"/>
      <c r="G43" s="310"/>
      <c r="H43" s="310"/>
    </row>
    <row r="44" spans="1:8" x14ac:dyDescent="0.25">
      <c r="A44" s="48"/>
      <c r="B44" s="49"/>
      <c r="C44" s="49"/>
      <c r="D44" s="49"/>
      <c r="E44" s="49"/>
      <c r="F44" s="49"/>
      <c r="G44" s="49"/>
      <c r="H44" s="49"/>
    </row>
    <row r="45" spans="1:8" x14ac:dyDescent="0.25">
      <c r="A45" s="318" t="s">
        <v>259</v>
      </c>
      <c r="B45" s="318"/>
      <c r="C45" s="318"/>
      <c r="D45" s="318"/>
      <c r="E45" s="318"/>
      <c r="F45" s="318"/>
      <c r="G45" s="318"/>
      <c r="H45" s="318"/>
    </row>
    <row r="46" spans="1:8" x14ac:dyDescent="0.25">
      <c r="A46" s="168"/>
      <c r="B46" s="167"/>
      <c r="C46" s="167"/>
      <c r="D46" s="167"/>
      <c r="E46" s="167"/>
      <c r="F46" s="167"/>
      <c r="G46" s="167"/>
      <c r="H46" s="167"/>
    </row>
    <row r="47" spans="1:8" ht="15" customHeight="1" x14ac:dyDescent="0.25">
      <c r="A47" s="326" t="s">
        <v>260</v>
      </c>
      <c r="B47" s="327"/>
      <c r="C47" s="327"/>
      <c r="D47" s="328"/>
      <c r="E47" s="314" t="s">
        <v>33</v>
      </c>
      <c r="F47" s="314"/>
      <c r="G47" s="314" t="s">
        <v>235</v>
      </c>
      <c r="H47" s="314"/>
    </row>
    <row r="48" spans="1:8" ht="15" customHeight="1" x14ac:dyDescent="0.25">
      <c r="A48" s="321" t="str">
        <f>IF(ISBLANK(Datos!O26),"",Datos!O26)</f>
        <v>EDUCAR EDITORES S.A</v>
      </c>
      <c r="B48" s="322" t="str">
        <f>IF(ISBLANK(Datos!V66),"",Datos!V66)</f>
        <v/>
      </c>
      <c r="C48" s="322" t="str">
        <f>IF(ISBLANK(Datos!W66),"",Datos!W66)</f>
        <v/>
      </c>
      <c r="D48" s="323" t="str">
        <f>IF(ISBLANK(Datos!X63),"",Datos!X63)</f>
        <v/>
      </c>
      <c r="E48" s="324" t="str">
        <f>IF(ISBLANK(Datos!U26),"",(Datos!U26))</f>
        <v/>
      </c>
      <c r="F48" s="323"/>
      <c r="G48" s="319">
        <f>IF(ISBLANK(Datos!W26),"",Datos!W26)</f>
        <v>17422000</v>
      </c>
      <c r="H48" s="320"/>
    </row>
    <row r="49" spans="1:8" x14ac:dyDescent="0.25">
      <c r="A49" s="321" t="str">
        <f>IF(ISBLANK(Datos!O27),"",Datos!O27)</f>
        <v>LIBROS Y LIBROS S.A</v>
      </c>
      <c r="B49" s="322" t="str">
        <f>IF(ISBLANK(Datos!V67),"",Datos!V67)</f>
        <v/>
      </c>
      <c r="C49" s="322" t="str">
        <f>IF(ISBLANK(Datos!W67),"",Datos!W67)</f>
        <v/>
      </c>
      <c r="D49" s="323" t="str">
        <f>IF(ISBLANK(Datos!X64),"",Datos!X64)</f>
        <v/>
      </c>
      <c r="E49" s="324" t="str">
        <f>IF(ISBLANK(Datos!U27),"",(Datos!U27))</f>
        <v/>
      </c>
      <c r="F49" s="323"/>
      <c r="G49" s="319">
        <f>IF(ISBLANK(Datos!W27),"",Datos!W27)</f>
        <v>17240000</v>
      </c>
      <c r="H49" s="320"/>
    </row>
    <row r="50" spans="1:8" x14ac:dyDescent="0.25">
      <c r="A50" s="321" t="str">
        <f>IF(ISBLANK(Datos!O28),"",Datos!O28)</f>
        <v xml:space="preserve">EUREKA LIBROS S.A.S </v>
      </c>
      <c r="B50" s="322"/>
      <c r="C50" s="322"/>
      <c r="D50" s="323"/>
      <c r="E50" s="324" t="str">
        <f>IF(ISBLANK(Datos!U28),"",(Datos!U28))</f>
        <v>900,677,076-1</v>
      </c>
      <c r="F50" s="329"/>
      <c r="G50" s="319">
        <f>IF(ISBLANK(Datos!W28),"",Datos!W28)</f>
        <v>17460000</v>
      </c>
      <c r="H50" s="320"/>
    </row>
    <row r="51" spans="1:8" x14ac:dyDescent="0.25">
      <c r="A51" s="48"/>
      <c r="B51" s="49"/>
      <c r="C51" s="49"/>
      <c r="D51" s="49"/>
      <c r="E51" s="49"/>
      <c r="F51" s="49"/>
      <c r="G51" s="49"/>
      <c r="H51" s="49"/>
    </row>
    <row r="52" spans="1:8" x14ac:dyDescent="0.25">
      <c r="A52" s="168"/>
      <c r="B52" s="167"/>
      <c r="C52" s="167"/>
      <c r="D52" s="167"/>
      <c r="E52" s="167"/>
      <c r="F52" s="167"/>
      <c r="G52" s="167"/>
      <c r="H52" s="167"/>
    </row>
    <row r="53" spans="1:8" x14ac:dyDescent="0.25">
      <c r="A53" s="168"/>
      <c r="B53" s="167"/>
      <c r="C53" s="167"/>
      <c r="D53" s="167"/>
      <c r="E53" s="167"/>
      <c r="F53" s="167"/>
      <c r="G53" s="167"/>
      <c r="H53" s="167"/>
    </row>
    <row r="55" spans="1:8" ht="30.75" customHeight="1" x14ac:dyDescent="0.25">
      <c r="B55" s="25"/>
      <c r="C55" s="25"/>
      <c r="D55" s="325" t="str">
        <f>+Datos!B51</f>
        <v>CARLOS MARIO GIRALDO JIMENEZ
Rector</v>
      </c>
      <c r="E55" s="325"/>
      <c r="F55" s="325"/>
      <c r="G55" s="25"/>
      <c r="H55" s="25"/>
    </row>
  </sheetData>
  <mergeCells count="57">
    <mergeCell ref="D55:F55"/>
    <mergeCell ref="E47:F47"/>
    <mergeCell ref="A47:D47"/>
    <mergeCell ref="G47:H47"/>
    <mergeCell ref="B43:H43"/>
    <mergeCell ref="E50:F50"/>
    <mergeCell ref="A50:D50"/>
    <mergeCell ref="A42:H42"/>
    <mergeCell ref="G50:H50"/>
    <mergeCell ref="G49:H49"/>
    <mergeCell ref="G48:H48"/>
    <mergeCell ref="A45:H45"/>
    <mergeCell ref="A49:D49"/>
    <mergeCell ref="A48:D48"/>
    <mergeCell ref="E49:F49"/>
    <mergeCell ref="E48:F48"/>
    <mergeCell ref="A28:H28"/>
    <mergeCell ref="A33:H33"/>
    <mergeCell ref="A31:H31"/>
    <mergeCell ref="A40:H40"/>
    <mergeCell ref="A38:H38"/>
    <mergeCell ref="A24:H24"/>
    <mergeCell ref="A26:H26"/>
    <mergeCell ref="A29:H29"/>
    <mergeCell ref="A36:H36"/>
    <mergeCell ref="A1:H1"/>
    <mergeCell ref="A6:H6"/>
    <mergeCell ref="A8:H8"/>
    <mergeCell ref="A10:B10"/>
    <mergeCell ref="A2:H2"/>
    <mergeCell ref="C12:H12"/>
    <mergeCell ref="A12:B12"/>
    <mergeCell ref="A4:H4"/>
    <mergeCell ref="C10:H10"/>
    <mergeCell ref="A11:B11"/>
    <mergeCell ref="C11:H11"/>
    <mergeCell ref="A35:H35"/>
    <mergeCell ref="A18:B18"/>
    <mergeCell ref="C13:H13"/>
    <mergeCell ref="C14:H14"/>
    <mergeCell ref="C15:H15"/>
    <mergeCell ref="C16:H16"/>
    <mergeCell ref="C17:H17"/>
    <mergeCell ref="C18:H18"/>
    <mergeCell ref="A13:B13"/>
    <mergeCell ref="A14:B14"/>
    <mergeCell ref="A15:B15"/>
    <mergeCell ref="A16:B16"/>
    <mergeCell ref="A17:B17"/>
    <mergeCell ref="C19:H19"/>
    <mergeCell ref="C20:H20"/>
    <mergeCell ref="C21:H21"/>
    <mergeCell ref="C22:H22"/>
    <mergeCell ref="A19:B19"/>
    <mergeCell ref="A20:B20"/>
    <mergeCell ref="A21:B21"/>
    <mergeCell ref="A22:B22"/>
  </mergeCells>
  <printOptions horizontalCentered="1"/>
  <pageMargins left="0.70866141732283472" right="0.70866141732283472" top="1.6781250000000001" bottom="0.99375000000000002" header="0.31496062992125984" footer="0.17812500000000001"/>
  <pageSetup scale="90" orientation="portrait" r:id="rId1"/>
  <headerFooter>
    <oddHeader>&amp;C&amp;G</oddHeader>
    <oddFooter>&amp;C&amp;G
Página &amp;P de &amp;N&amp;REstudios Previos</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topLeftCell="A19" zoomScaleNormal="100" workbookViewId="0">
      <selection activeCell="D27" sqref="D27"/>
    </sheetView>
  </sheetViews>
  <sheetFormatPr baseColWidth="10" defaultRowHeight="15" x14ac:dyDescent="0.25"/>
  <sheetData>
    <row r="1" spans="1:8" x14ac:dyDescent="0.25">
      <c r="A1" s="312" t="str">
        <f>+""&amp;Datos!B24&amp;" "&amp;Datos!C24&amp;""</f>
        <v>RESOLUCIÓN DE APERTURA No. RAP.   005-03-2020</v>
      </c>
      <c r="B1" s="312"/>
      <c r="C1" s="312"/>
      <c r="D1" s="312"/>
      <c r="E1" s="312"/>
      <c r="F1" s="312"/>
      <c r="G1" s="312"/>
      <c r="H1" s="312"/>
    </row>
    <row r="2" spans="1:8" x14ac:dyDescent="0.25">
      <c r="A2" s="332" t="str">
        <f>+"("&amp;Datos!J49&amp;")"</f>
        <v>(4 de mayo de 2020)</v>
      </c>
      <c r="B2" s="332"/>
      <c r="C2" s="332"/>
      <c r="D2" s="332"/>
      <c r="E2" s="332"/>
      <c r="F2" s="332"/>
      <c r="G2" s="332"/>
      <c r="H2" s="332"/>
    </row>
    <row r="3" spans="1:8" x14ac:dyDescent="0.25">
      <c r="A3" s="154"/>
      <c r="B3" s="154"/>
      <c r="C3" s="154"/>
      <c r="D3" s="154"/>
      <c r="E3" s="154"/>
      <c r="F3" s="154"/>
      <c r="G3" s="154"/>
      <c r="H3" s="154"/>
    </row>
    <row r="4" spans="1:8" ht="26.25" customHeight="1" x14ac:dyDescent="0.25">
      <c r="A4" s="330" t="str">
        <f>+"Por medio de la cual se da APERTURA a un proceso contractual para: "&amp;Datos!C8&amp;". "</f>
        <v xml:space="preserve">Por medio de la cual se da APERTURA a un proceso contractual para: Compra de textos escolares de 6° a 11°. </v>
      </c>
      <c r="B4" s="330"/>
      <c r="C4" s="330"/>
      <c r="D4" s="330"/>
      <c r="E4" s="330"/>
      <c r="F4" s="330"/>
      <c r="G4" s="330"/>
      <c r="H4" s="330"/>
    </row>
    <row r="5" spans="1:8" x14ac:dyDescent="0.25">
      <c r="A5" s="155"/>
      <c r="B5" s="155"/>
      <c r="C5" s="155"/>
      <c r="D5" s="155"/>
      <c r="E5" s="155"/>
      <c r="F5" s="155"/>
      <c r="G5" s="155"/>
      <c r="H5" s="155"/>
    </row>
    <row r="6" spans="1:8" ht="78" customHeight="1" x14ac:dyDescent="0.25">
      <c r="A6" s="310" t="str">
        <f>+"La Rectoría de la "&amp;Datos!B49&amp;" del Municipio de "&amp;Datos!B50&amp;" en uso de sus facultades legales, en particular las conferidas por la Ley 115 de 1994, Artículo 10 de la Ley 715 de 2002 ; el Decreto 1075 de 2015; el Decreto 4807 de 2011, y conforme a lo establecido en la Ley 1150 de 2007, el Decreto 1082 de 2015 y el "&amp;Datos!B54&amp;" del Consejo Directivo (Reglamento de Contratación Institucional para la contratación de bienes y servicios hasta la cuantía de 20 SMLMV), Y"</f>
        <v>La Rectoría de la INSTITUCIÓN EDUCATIVA JOAQUIN VALLEJO ARBELAEZ del Municipio de MEDELLÍN en uso de sus facultades legales, en particular las conferidas por la Ley 115 de 1994, Artículo 10 de la Ley 715 de 2002 ; el Decreto 1075 de 2015; el Decreto 4807 de 2011, y conforme a lo establecido en la Ley 1150 de 2007, el Decreto 1082 de 2015 y el Acuerdo N° 05 del 22 de Abril de 2020 del Consejo Directivo (Reglamento de Contratación Institucional para la contratación de bienes y servicios hasta la cuantía de 20 SMLMV), Y</v>
      </c>
      <c r="B6" s="310"/>
      <c r="C6" s="310"/>
      <c r="D6" s="310"/>
      <c r="E6" s="310"/>
      <c r="F6" s="310"/>
      <c r="G6" s="310"/>
      <c r="H6" s="310"/>
    </row>
    <row r="7" spans="1:8" x14ac:dyDescent="0.25">
      <c r="A7" s="330" t="s">
        <v>101</v>
      </c>
      <c r="B7" s="330"/>
      <c r="C7" s="330"/>
      <c r="D7" s="330"/>
      <c r="E7" s="330"/>
      <c r="F7" s="330"/>
      <c r="G7" s="330"/>
      <c r="H7" s="330"/>
    </row>
    <row r="8" spans="1:8" ht="15.75" customHeight="1" x14ac:dyDescent="0.25">
      <c r="A8" s="29"/>
      <c r="B8" s="29"/>
      <c r="C8" s="29"/>
      <c r="D8" s="29"/>
      <c r="E8" s="29"/>
      <c r="F8" s="29"/>
      <c r="G8" s="29"/>
      <c r="H8" s="29"/>
    </row>
    <row r="9" spans="1:8" ht="41.25" customHeight="1" x14ac:dyDescent="0.25">
      <c r="A9" s="318" t="str">
        <f>+"1. Que la Institución Educativa debe garantizar la continuidad en el servicio educativo que presta, siendo  esencial: "&amp;Datos!C8&amp;"."</f>
        <v>1. Que la Institución Educativa debe garantizar la continuidad en el servicio educativo que presta, siendo  esencial: Compra de textos escolares de 6° a 11°.</v>
      </c>
      <c r="B9" s="318"/>
      <c r="C9" s="318"/>
      <c r="D9" s="318"/>
      <c r="E9" s="318"/>
      <c r="F9" s="318"/>
      <c r="G9" s="318"/>
      <c r="H9" s="318"/>
    </row>
    <row r="10" spans="1:8" ht="87" customHeight="1" x14ac:dyDescent="0.25">
      <c r="A10" s="318" t="str">
        <f>+"2. Que el proceso de contratación se realizará según el reglamento aprobado por el Consejo Directivo en el  "&amp;Datos!B54&amp;".
3. Que la entidad cuenta con los respectivos estudios previos de Conveniencia y Oportunidad No. EP. "&amp;Datos!C19&amp;" para celebrar la presente  conforme al Artículo 3 del Decreto 066 de 2008."</f>
        <v>2. Que el proceso de contratación se realizará según el reglamento aprobado por el Consejo Directivo en el  Acuerdo N° 05 del 22 de Abril de 2020.
3. Que la entidad cuenta con los respectivos estudios previos de Conveniencia y Oportunidad No. EP. 005-03-2020 para celebrar la presente  conforme al Artículo 3 del Decreto 066 de 2008.</v>
      </c>
      <c r="B10" s="318"/>
      <c r="C10" s="318"/>
      <c r="D10" s="318"/>
      <c r="E10" s="318"/>
      <c r="F10" s="318"/>
      <c r="G10" s="318"/>
      <c r="H10" s="318"/>
    </row>
    <row r="11" spans="1:8" ht="82.5" customHeight="1" x14ac:dyDescent="0.25">
      <c r="A11" s="310" t="s">
        <v>332</v>
      </c>
      <c r="B11" s="310"/>
      <c r="C11" s="310"/>
      <c r="D11" s="310"/>
      <c r="E11" s="310"/>
      <c r="F11" s="310"/>
      <c r="G11" s="310"/>
      <c r="H11" s="310"/>
    </row>
    <row r="12" spans="1:8" x14ac:dyDescent="0.25">
      <c r="A12" s="49"/>
      <c r="B12" s="49"/>
      <c r="C12" s="49"/>
      <c r="D12" s="49"/>
      <c r="E12" s="49"/>
      <c r="F12" s="49"/>
      <c r="G12" s="49"/>
      <c r="H12" s="49"/>
    </row>
    <row r="13" spans="1:8" x14ac:dyDescent="0.25">
      <c r="A13" s="330" t="s">
        <v>102</v>
      </c>
      <c r="B13" s="330"/>
      <c r="C13" s="330"/>
      <c r="D13" s="330"/>
      <c r="E13" s="330"/>
      <c r="F13" s="330"/>
      <c r="G13" s="330"/>
      <c r="H13" s="330"/>
    </row>
    <row r="14" spans="1:8" x14ac:dyDescent="0.25">
      <c r="A14" s="164"/>
      <c r="B14" s="164"/>
      <c r="C14" s="164"/>
      <c r="D14" s="164"/>
      <c r="E14" s="164"/>
      <c r="F14" s="164"/>
      <c r="G14" s="164"/>
      <c r="H14" s="164"/>
    </row>
    <row r="15" spans="1:8" ht="65.25" customHeight="1" x14ac:dyDescent="0.25">
      <c r="A15" s="318" t="str">
        <f>+"ARTÍCULO PRIMERO. Ordenar la apertura al proceso de selección por Invitación Pública No. IP. "&amp;Datos!C18&amp;",  para la celebración de un contrato cuyo objeto es seleccionar en igualdad de oportunidades a quien ofrezca mejores condiciones para contratar: "&amp;Datos!C8&amp;"."</f>
        <v>ARTÍCULO PRIMERO. Ordenar la apertura al proceso de selección por Invitación Pública No. IP. 005-03-2020,  para la celebración de un contrato cuyo objeto es seleccionar en igualdad de oportunidades a quien ofrezca mejores condiciones para contratar: Compra de textos escolares de 6° a 11°.</v>
      </c>
      <c r="B15" s="318"/>
      <c r="C15" s="318"/>
      <c r="D15" s="318"/>
      <c r="E15" s="318"/>
      <c r="F15" s="318"/>
      <c r="G15" s="318"/>
      <c r="H15" s="318"/>
    </row>
    <row r="16" spans="1:8" ht="98.25" customHeight="1" x14ac:dyDescent="0.25">
      <c r="A16" s="310" t="s">
        <v>300</v>
      </c>
      <c r="B16" s="310"/>
      <c r="C16" s="310"/>
      <c r="D16" s="310"/>
      <c r="E16" s="310"/>
      <c r="F16" s="310"/>
      <c r="G16" s="310"/>
      <c r="H16" s="310"/>
    </row>
    <row r="17" spans="1:8" ht="14.25" customHeight="1" x14ac:dyDescent="0.25">
      <c r="A17" s="28"/>
      <c r="B17" s="28"/>
      <c r="C17" s="28"/>
      <c r="D17" s="28"/>
      <c r="E17" s="28"/>
      <c r="F17" s="28"/>
      <c r="G17" s="28"/>
      <c r="H17" s="28"/>
    </row>
    <row r="18" spans="1:8" ht="67.5" customHeight="1" x14ac:dyDescent="0.25">
      <c r="A18" s="317" t="str">
        <f>+"ARTÍCULO CUARTO. La consulta y retiro de la invitación pública y estudios previos se realiza en la página web de la Institución Educativa
ARTÍCULO QUINTO. La presente resolución rige a partir de la fecha de expedición."</f>
        <v>ARTÍCULO CUARTO. La consulta y retiro de la invitación pública y estudios previos se realiza en la página web de la Institución Educativa
ARTÍCULO QUINTO. La presente resolución rige a partir de la fecha de expedición.</v>
      </c>
      <c r="B18" s="333"/>
      <c r="C18" s="333"/>
      <c r="D18" s="333"/>
      <c r="E18" s="333"/>
      <c r="F18" s="333"/>
      <c r="G18" s="333"/>
      <c r="H18" s="333"/>
    </row>
    <row r="19" spans="1:8" x14ac:dyDescent="0.25">
      <c r="A19" s="50"/>
      <c r="B19" s="51"/>
      <c r="C19" s="51"/>
      <c r="D19" s="51"/>
      <c r="E19" s="51"/>
      <c r="F19" s="51"/>
      <c r="G19" s="51"/>
      <c r="H19" s="51"/>
    </row>
    <row r="20" spans="1:8" x14ac:dyDescent="0.25">
      <c r="A20" s="50"/>
      <c r="B20" s="51"/>
      <c r="C20" s="51"/>
      <c r="D20" s="51"/>
      <c r="E20" s="51"/>
      <c r="F20" s="51"/>
      <c r="G20" s="51"/>
      <c r="H20" s="51"/>
    </row>
    <row r="21" spans="1:8" x14ac:dyDescent="0.25">
      <c r="A21" s="31"/>
      <c r="B21" s="32"/>
      <c r="C21" s="32"/>
      <c r="D21" s="32"/>
      <c r="E21" s="32"/>
      <c r="F21" s="32"/>
      <c r="G21" s="32"/>
      <c r="H21" s="32"/>
    </row>
    <row r="22" spans="1:8" ht="20.25" customHeight="1" x14ac:dyDescent="0.25">
      <c r="A22" s="331" t="str">
        <f>+"Dada en "&amp;Datos!B50&amp;" el "&amp;Datos!J49&amp;"."</f>
        <v>Dada en MEDELLÍN el 4 de mayo de 2020.</v>
      </c>
      <c r="B22" s="331"/>
      <c r="C22" s="331"/>
      <c r="D22" s="331"/>
      <c r="E22" s="331"/>
      <c r="F22" s="331"/>
      <c r="G22" s="331"/>
      <c r="H22" s="331"/>
    </row>
    <row r="23" spans="1:8" ht="20.25" customHeight="1" x14ac:dyDescent="0.25">
      <c r="A23" s="36"/>
      <c r="B23" s="36"/>
      <c r="C23" s="36"/>
      <c r="D23" s="36"/>
      <c r="E23" s="36"/>
      <c r="F23" s="36"/>
      <c r="G23" s="36"/>
      <c r="H23" s="36"/>
    </row>
    <row r="24" spans="1:8" x14ac:dyDescent="0.25">
      <c r="A24" s="36"/>
      <c r="B24" s="36"/>
      <c r="C24" s="36"/>
      <c r="D24" s="36"/>
      <c r="E24" s="36"/>
      <c r="F24" s="36"/>
      <c r="G24" s="36"/>
      <c r="H24" s="36"/>
    </row>
    <row r="25" spans="1:8" x14ac:dyDescent="0.25">
      <c r="A25" s="149"/>
      <c r="B25" s="149"/>
      <c r="C25" s="149"/>
      <c r="D25" s="149"/>
      <c r="E25" s="149"/>
      <c r="F25" s="149"/>
      <c r="G25" s="149"/>
      <c r="H25" s="149"/>
    </row>
    <row r="26" spans="1:8" x14ac:dyDescent="0.25">
      <c r="A26" s="36"/>
      <c r="B26" s="36"/>
      <c r="C26" s="36"/>
      <c r="D26" s="36"/>
      <c r="E26" s="36"/>
      <c r="F26" s="36"/>
      <c r="G26" s="36"/>
      <c r="H26" s="36"/>
    </row>
    <row r="27" spans="1:8" ht="20.25" customHeight="1" x14ac:dyDescent="0.25">
      <c r="A27" s="36"/>
      <c r="B27" s="36"/>
      <c r="C27" s="36"/>
      <c r="D27" s="36"/>
      <c r="E27" s="36"/>
      <c r="F27" s="36"/>
      <c r="G27" s="36"/>
      <c r="H27" s="36"/>
    </row>
    <row r="29" spans="1:8" ht="41.25" customHeight="1" x14ac:dyDescent="0.25">
      <c r="B29" s="25"/>
      <c r="C29" s="325" t="str">
        <f>+""&amp;Datos!B51&amp;""</f>
        <v>CARLOS MARIO GIRALDO JIMENEZ
Rector</v>
      </c>
      <c r="D29" s="325"/>
      <c r="E29" s="325"/>
      <c r="F29" s="325"/>
      <c r="G29" s="25"/>
      <c r="H29" s="25"/>
    </row>
  </sheetData>
  <mergeCells count="14">
    <mergeCell ref="C29:F29"/>
    <mergeCell ref="A1:H1"/>
    <mergeCell ref="A11:H11"/>
    <mergeCell ref="A13:H13"/>
    <mergeCell ref="A16:H16"/>
    <mergeCell ref="A22:H22"/>
    <mergeCell ref="A2:H2"/>
    <mergeCell ref="A4:H4"/>
    <mergeCell ref="A6:H6"/>
    <mergeCell ref="A7:H7"/>
    <mergeCell ref="A9:H9"/>
    <mergeCell ref="A10:H10"/>
    <mergeCell ref="A15:H15"/>
    <mergeCell ref="A18:H18"/>
  </mergeCells>
  <printOptions horizontalCentered="1"/>
  <pageMargins left="0.32291666666666669" right="0.27559055118110237" top="1.8020833333333333" bottom="1.1145833333333333" header="0.31496062992125984" footer="0.19791666666666666"/>
  <pageSetup orientation="portrait" r:id="rId1"/>
  <headerFooter>
    <oddHeader>&amp;C&amp;G</oddHeader>
    <oddFooter>&amp;C&amp;G
Página &amp;P de &amp;N&amp;RResolución de Apertura</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Layout" topLeftCell="A67" zoomScaleNormal="70" workbookViewId="0">
      <selection activeCell="D70" sqref="D70"/>
    </sheetView>
  </sheetViews>
  <sheetFormatPr baseColWidth="10" defaultRowHeight="15" x14ac:dyDescent="0.25"/>
  <cols>
    <col min="1" max="1" width="19.42578125" customWidth="1"/>
    <col min="2" max="2" width="7.85546875" customWidth="1"/>
    <col min="8" max="8" width="15.85546875" customWidth="1"/>
  </cols>
  <sheetData>
    <row r="1" spans="1:8" x14ac:dyDescent="0.25">
      <c r="A1" s="312" t="str">
        <f>+""&amp;Datos!B18&amp;" "&amp;Datos!C18&amp;""</f>
        <v>INVITACIÓN PÚBLICA No. IP.  005-03-2020</v>
      </c>
      <c r="B1" s="312"/>
      <c r="C1" s="312"/>
      <c r="D1" s="312"/>
      <c r="E1" s="312"/>
      <c r="F1" s="312"/>
      <c r="G1" s="312"/>
      <c r="H1" s="312"/>
    </row>
    <row r="2" spans="1:8" x14ac:dyDescent="0.25">
      <c r="A2" s="337" t="str">
        <f>+"FECHA: "&amp;Datos!J49&amp;""</f>
        <v>FECHA: 4 de mayo de 2020</v>
      </c>
      <c r="B2" s="337"/>
      <c r="C2" s="337"/>
      <c r="D2" s="337"/>
      <c r="E2" s="337"/>
      <c r="F2" s="337"/>
      <c r="G2" s="337"/>
      <c r="H2" s="337"/>
    </row>
    <row r="3" spans="1:8" x14ac:dyDescent="0.25">
      <c r="A3" s="38"/>
      <c r="B3" s="38"/>
      <c r="C3" s="38"/>
      <c r="D3" s="38"/>
      <c r="E3" s="38"/>
      <c r="F3" s="38"/>
      <c r="G3" s="38"/>
      <c r="H3" s="38"/>
    </row>
    <row r="4" spans="1:8" ht="35.25" customHeight="1" x14ac:dyDescent="0.25">
      <c r="A4" s="310" t="str">
        <f>+"Por medio del cual LA "&amp;Datos!B49&amp;",  CONVOCA a los diferentes proveedores interesados en un proceso contractual para: "&amp;Datos!C8&amp;"."</f>
        <v>Por medio del cual LA INSTITUCIÓN EDUCATIVA JOAQUIN VALLEJO ARBELAEZ,  CONVOCA a los diferentes proveedores interesados en un proceso contractual para: Compra de textos escolares de 6° a 11°.</v>
      </c>
      <c r="B4" s="310"/>
      <c r="C4" s="310"/>
      <c r="D4" s="310"/>
      <c r="E4" s="310"/>
      <c r="F4" s="310"/>
      <c r="G4" s="310"/>
      <c r="H4" s="310"/>
    </row>
    <row r="5" spans="1:8" x14ac:dyDescent="0.25">
      <c r="A5" s="153"/>
      <c r="B5" s="153"/>
      <c r="C5" s="153"/>
      <c r="D5" s="153"/>
      <c r="E5" s="153"/>
      <c r="F5" s="153"/>
      <c r="G5" s="153"/>
      <c r="H5" s="153"/>
    </row>
    <row r="6" spans="1:8" ht="126" customHeight="1" x14ac:dyDescent="0.25">
      <c r="A6" s="310" t="str">
        <f>+"JUSTIFICACIÓN: La Institución Educativa debe garantizar la continuidad en el servicio educativo que presta, siendo fundamental: "&amp;Datos!E8&amp;".
El proceso de contratación se realizará según el reglamento aprobado por el Consejo Directivo en el "&amp;Datos!B54&amp;"."</f>
        <v>JUSTIFICACIÓN: La Institución Educativa debe garantizar la continuidad en el servicio educativo que presta, siendo fundamental: Compra de textos escolares de matemáticas y leengua castellana para los grados sexto, septimo, octavo, noveno, decimo y once con el fin de avanzar en la educacion y proveer conocimiento durante la contingencia por el COVID 19,  ya que la gran mayoria de los alumnos no cuenta con acceso a medios virtuales para el apoyo de las actividades educativas. Con esto son beneficiados los alumnos de secundaria de la institucion..
El proceso de contratación se realizará según el reglamento aprobado por el Consejo Directivo en el Acuerdo N° 05 del 22 de Abril de 2020.</v>
      </c>
      <c r="B6" s="310"/>
      <c r="C6" s="310"/>
      <c r="D6" s="310"/>
      <c r="E6" s="310"/>
      <c r="F6" s="310"/>
      <c r="G6" s="310"/>
      <c r="H6" s="310"/>
    </row>
    <row r="7" spans="1:8" x14ac:dyDescent="0.25">
      <c r="A7" s="153"/>
      <c r="B7" s="153"/>
      <c r="C7" s="153"/>
      <c r="D7" s="153"/>
      <c r="E7" s="153"/>
      <c r="F7" s="153"/>
      <c r="G7" s="153"/>
      <c r="H7" s="153"/>
    </row>
    <row r="8" spans="1:8" ht="19.5" customHeight="1" x14ac:dyDescent="0.25">
      <c r="A8" s="313" t="str">
        <f>+"OBJETO A CONTRATAR: "&amp;Datos!C8&amp;"."</f>
        <v>OBJETO A CONTRATAR: Compra de textos escolares de 6° a 11°.</v>
      </c>
      <c r="B8" s="313"/>
      <c r="C8" s="313"/>
      <c r="D8" s="313"/>
      <c r="E8" s="313"/>
      <c r="F8" s="313"/>
      <c r="G8" s="313"/>
      <c r="H8" s="313"/>
    </row>
    <row r="9" spans="1:8" x14ac:dyDescent="0.25">
      <c r="A9" s="49"/>
      <c r="B9" s="49"/>
      <c r="C9" s="49"/>
      <c r="D9" s="49"/>
      <c r="E9" s="49"/>
      <c r="F9" s="49"/>
      <c r="G9" s="49"/>
      <c r="H9" s="49"/>
    </row>
    <row r="10" spans="1:8" ht="39" customHeight="1" x14ac:dyDescent="0.25">
      <c r="A10" s="310" t="s">
        <v>192</v>
      </c>
      <c r="B10" s="310"/>
      <c r="C10" s="310"/>
      <c r="D10" s="310"/>
      <c r="E10" s="310"/>
      <c r="F10" s="310"/>
      <c r="G10" s="310"/>
      <c r="H10" s="310"/>
    </row>
    <row r="11" spans="1:8" x14ac:dyDescent="0.25">
      <c r="A11" s="49"/>
      <c r="B11" s="49"/>
      <c r="C11" s="49"/>
      <c r="D11" s="49"/>
      <c r="E11" s="49"/>
      <c r="F11" s="49"/>
      <c r="G11" s="49"/>
      <c r="H11" s="49"/>
    </row>
    <row r="12" spans="1:8" ht="36.75" customHeight="1" x14ac:dyDescent="0.25">
      <c r="A12" s="310" t="s">
        <v>263</v>
      </c>
      <c r="B12" s="310"/>
      <c r="C12" s="310"/>
      <c r="D12" s="310"/>
      <c r="E12" s="310"/>
      <c r="F12" s="310"/>
      <c r="G12" s="310"/>
      <c r="H12" s="310"/>
    </row>
    <row r="13" spans="1:8" x14ac:dyDescent="0.25">
      <c r="A13" s="49"/>
      <c r="B13" s="49"/>
      <c r="C13" s="49"/>
      <c r="D13" s="49"/>
      <c r="E13" s="49"/>
      <c r="F13" s="49"/>
      <c r="G13" s="49"/>
      <c r="H13" s="49"/>
    </row>
    <row r="14" spans="1:8" ht="15.95" customHeight="1" x14ac:dyDescent="0.25">
      <c r="A14" s="314" t="str">
        <f>Datos!H69</f>
        <v>CANTIDADES</v>
      </c>
      <c r="B14" s="314"/>
      <c r="C14" s="314" t="str">
        <f>Datos!I69</f>
        <v>DETALLE</v>
      </c>
      <c r="D14" s="314"/>
      <c r="E14" s="314"/>
      <c r="F14" s="314"/>
      <c r="G14" s="314"/>
      <c r="H14" s="314"/>
    </row>
    <row r="15" spans="1:8" ht="22.5" customHeight="1" x14ac:dyDescent="0.25">
      <c r="A15" s="308">
        <f>IF(ISBLANK(Datos!H70),"",Datos!H70)</f>
        <v>110</v>
      </c>
      <c r="B15" s="308"/>
      <c r="C15" s="307" t="str">
        <f>IF(ISBLANK(Datos!I70),"",Datos!I70)</f>
        <v>LENGUAJE 6°</v>
      </c>
      <c r="D15" s="307"/>
      <c r="E15" s="307"/>
      <c r="F15" s="307"/>
      <c r="G15" s="307"/>
      <c r="H15" s="307"/>
    </row>
    <row r="16" spans="1:8" ht="18" customHeight="1" x14ac:dyDescent="0.25">
      <c r="A16" s="308">
        <f>IF(ISBLANK(Datos!H71),"",Datos!H71)</f>
        <v>90</v>
      </c>
      <c r="B16" s="308"/>
      <c r="C16" s="307" t="str">
        <f>IF(ISBLANK(Datos!I71),"",Datos!I71)</f>
        <v>LENGUAJE 7°</v>
      </c>
      <c r="D16" s="307"/>
      <c r="E16" s="307"/>
      <c r="F16" s="307"/>
      <c r="G16" s="307"/>
      <c r="H16" s="307"/>
    </row>
    <row r="17" spans="1:8" ht="18" customHeight="1" x14ac:dyDescent="0.25">
      <c r="A17" s="308">
        <f>IF(ISBLANK(Datos!H72),"",Datos!H72)</f>
        <v>90</v>
      </c>
      <c r="B17" s="308"/>
      <c r="C17" s="307" t="str">
        <f>IF(ISBLANK(Datos!I72),"",Datos!I72)</f>
        <v>LENGUAJE 8°</v>
      </c>
      <c r="D17" s="307"/>
      <c r="E17" s="307"/>
      <c r="F17" s="307"/>
      <c r="G17" s="307"/>
      <c r="H17" s="307"/>
    </row>
    <row r="18" spans="1:8" ht="18" customHeight="1" x14ac:dyDescent="0.25">
      <c r="A18" s="308">
        <f>IF(ISBLANK(Datos!H73),"",Datos!H73)</f>
        <v>50</v>
      </c>
      <c r="B18" s="308"/>
      <c r="C18" s="307" t="str">
        <f>IF(ISBLANK(Datos!I73),"",Datos!I73)</f>
        <v>LENGUAJE 9°</v>
      </c>
      <c r="D18" s="307"/>
      <c r="E18" s="307"/>
      <c r="F18" s="307"/>
      <c r="G18" s="307"/>
      <c r="H18" s="307"/>
    </row>
    <row r="19" spans="1:8" ht="18" customHeight="1" x14ac:dyDescent="0.25">
      <c r="A19" s="308">
        <f>IF(ISBLANK(Datos!H74),"",Datos!H74)</f>
        <v>50</v>
      </c>
      <c r="B19" s="308"/>
      <c r="C19" s="307" t="str">
        <f>IF(ISBLANK(Datos!I74),"",Datos!I74)</f>
        <v>LENGUAJE 10°</v>
      </c>
      <c r="D19" s="307"/>
      <c r="E19" s="307"/>
      <c r="F19" s="307"/>
      <c r="G19" s="307"/>
      <c r="H19" s="307"/>
    </row>
    <row r="20" spans="1:8" ht="18" customHeight="1" x14ac:dyDescent="0.25">
      <c r="A20" s="308">
        <f>IF(ISBLANK(Datos!H75),"",Datos!H75)</f>
        <v>47</v>
      </c>
      <c r="B20" s="308"/>
      <c r="C20" s="307" t="str">
        <f>IF(ISBLANK(Datos!I75),"",Datos!I75)</f>
        <v>LENGUAJE 11°</v>
      </c>
      <c r="D20" s="307"/>
      <c r="E20" s="307"/>
      <c r="F20" s="307"/>
      <c r="G20" s="307"/>
      <c r="H20" s="307"/>
    </row>
    <row r="21" spans="1:8" ht="18" customHeight="1" x14ac:dyDescent="0.25">
      <c r="A21" s="308">
        <f>IF(ISBLANK(Datos!H76),"",Datos!H76)</f>
        <v>110</v>
      </c>
      <c r="B21" s="308"/>
      <c r="C21" s="307" t="str">
        <f>IF(ISBLANK(Datos!I76),"",Datos!I76)</f>
        <v>MATEMATICAS 6°</v>
      </c>
      <c r="D21" s="307"/>
      <c r="E21" s="307"/>
      <c r="F21" s="307"/>
      <c r="G21" s="307"/>
      <c r="H21" s="307"/>
    </row>
    <row r="22" spans="1:8" ht="18" customHeight="1" x14ac:dyDescent="0.25">
      <c r="A22" s="308">
        <f>IF(ISBLANK(Datos!H77),"",Datos!H77)</f>
        <v>90</v>
      </c>
      <c r="B22" s="308"/>
      <c r="C22" s="307" t="str">
        <f>IF(ISBLANK(Datos!I77),"",Datos!I77)</f>
        <v>MATEMATICAS 7°</v>
      </c>
      <c r="D22" s="307"/>
      <c r="E22" s="307"/>
      <c r="F22" s="307"/>
      <c r="G22" s="307"/>
      <c r="H22" s="307"/>
    </row>
    <row r="23" spans="1:8" ht="18" customHeight="1" x14ac:dyDescent="0.25">
      <c r="A23" s="308">
        <f>IF(ISBLANK(Datos!H78),"",Datos!H78)</f>
        <v>90</v>
      </c>
      <c r="B23" s="308"/>
      <c r="C23" s="307" t="str">
        <f>IF(ISBLANK(Datos!I78),"",Datos!I78)</f>
        <v>MATEMATICAS 8°</v>
      </c>
      <c r="D23" s="307"/>
      <c r="E23" s="307"/>
      <c r="F23" s="307"/>
      <c r="G23" s="307"/>
      <c r="H23" s="307"/>
    </row>
    <row r="24" spans="1:8" ht="18" customHeight="1" x14ac:dyDescent="0.25">
      <c r="A24" s="308">
        <f>IF(ISBLANK(Datos!H79),"",Datos!H79)</f>
        <v>50</v>
      </c>
      <c r="B24" s="308"/>
      <c r="C24" s="307" t="str">
        <f>IF(ISBLANK(Datos!I79),"",Datos!I79)</f>
        <v>MATEMATICAS 9°</v>
      </c>
      <c r="D24" s="307"/>
      <c r="E24" s="307"/>
      <c r="F24" s="307"/>
      <c r="G24" s="307"/>
      <c r="H24" s="307"/>
    </row>
    <row r="25" spans="1:8" ht="18" customHeight="1" x14ac:dyDescent="0.25">
      <c r="A25" s="308">
        <f>IF(ISBLANK(Datos!H80),"",Datos!H80)</f>
        <v>50</v>
      </c>
      <c r="B25" s="308"/>
      <c r="C25" s="307" t="str">
        <f>IF(ISBLANK(Datos!I80),"",Datos!I80)</f>
        <v>MATEMATICAS 10°</v>
      </c>
      <c r="D25" s="307"/>
      <c r="E25" s="307"/>
      <c r="F25" s="307"/>
      <c r="G25" s="307"/>
      <c r="H25" s="307"/>
    </row>
    <row r="26" spans="1:8" ht="18" customHeight="1" x14ac:dyDescent="0.25">
      <c r="A26" s="308">
        <f>IF(ISBLANK(Datos!H81),"",Datos!H81)</f>
        <v>47</v>
      </c>
      <c r="B26" s="308"/>
      <c r="C26" s="307" t="str">
        <f>IF(ISBLANK(Datos!I81),"",Datos!I81)</f>
        <v>MATEMATICAS 11°</v>
      </c>
      <c r="D26" s="307"/>
      <c r="E26" s="307"/>
      <c r="F26" s="307"/>
      <c r="G26" s="307"/>
      <c r="H26" s="307"/>
    </row>
    <row r="27" spans="1:8" x14ac:dyDescent="0.25">
      <c r="A27" s="24"/>
      <c r="B27" s="24"/>
      <c r="C27" s="24"/>
      <c r="D27" s="24"/>
      <c r="E27" s="24"/>
      <c r="F27" s="24"/>
      <c r="G27" s="24"/>
      <c r="H27" s="24"/>
    </row>
    <row r="28" spans="1:8" ht="57" customHeight="1" x14ac:dyDescent="0.25">
      <c r="A28" s="310" t="str">
        <f>+"PRESUPUESTO ASIGNADO: Conforme a los Estudios Previos realizados No. EP. "&amp;Datos!C19&amp;" y previo Certificado de  Disponibilidad Presupuestal Nº "&amp;Datos!C25&amp;", del "&amp;Datos!C26&amp;", se asigna un presupuesto de "&amp;Datos!C22&amp;" ($"&amp;Datos!C20&amp;")."</f>
        <v>PRESUPUESTO ASIGNADO: Conforme a los Estudios Previos realizados No. EP. 005-03-2020 y previo Certificado de  Disponibilidad Presupuestal Nº 10, del 30 de abril de 2020, se asigna un presupuesto de Diez y siete millones trescientos setenta y cuatro mil pesos M/L ($17374000).</v>
      </c>
      <c r="B28" s="310"/>
      <c r="C28" s="310"/>
      <c r="D28" s="310"/>
      <c r="E28" s="310"/>
      <c r="F28" s="310"/>
      <c r="G28" s="310"/>
      <c r="H28" s="310"/>
    </row>
    <row r="29" spans="1:8" ht="65.25" customHeight="1" x14ac:dyDescent="0.25">
      <c r="A29" s="310" t="str">
        <f>+"FUNDAMENTOS JURÍDICOS DEL PROCESO DE SELECCIÓN: El valor del contrato a suscribir, es inferior a veinte (20) salarios mínimos (SMLMV), por lo que se aplica lo estipulado en el Decreto 1075 de 2015 su artículo 2.3.1.6.3.5 y en especial en el "&amp;Datos!B54&amp;", expedido por el Consejo Directivo de la "&amp;Datos!B49&amp;"."</f>
        <v>FUNDAMENTOS JURÍDICOS DEL PROCESO DE SELECCIÓN: El valor del contrato a suscribir, es inferior a veinte (20) salarios mínimos (SMLMV), por lo que se aplica lo estipulado en el Decreto 1075 de 2015 su artículo 2.3.1.6.3.5 y en especial en el Acuerdo N° 05 del 22 de Abril de 2020, expedido por el Consejo Directivo de la INSTITUCIÓN EDUCATIVA JOAQUIN VALLEJO ARBELAEZ.</v>
      </c>
      <c r="B29" s="310"/>
      <c r="C29" s="310"/>
      <c r="D29" s="310"/>
      <c r="E29" s="310"/>
      <c r="F29" s="310"/>
      <c r="G29" s="310"/>
      <c r="H29" s="310"/>
    </row>
    <row r="30" spans="1:8" x14ac:dyDescent="0.25">
      <c r="A30" s="49"/>
      <c r="B30" s="49"/>
      <c r="C30" s="49"/>
      <c r="D30" s="49"/>
      <c r="E30" s="49"/>
      <c r="F30" s="49"/>
      <c r="G30" s="49"/>
      <c r="H30" s="49"/>
    </row>
    <row r="31" spans="1:8" ht="82.5" customHeight="1" x14ac:dyDescent="0.25">
      <c r="A31" s="310" t="s">
        <v>333</v>
      </c>
      <c r="B31" s="310"/>
      <c r="C31" s="310"/>
      <c r="D31" s="310"/>
      <c r="E31" s="310"/>
      <c r="F31" s="310"/>
      <c r="G31" s="310"/>
      <c r="H31" s="310"/>
    </row>
    <row r="32" spans="1:8" x14ac:dyDescent="0.25">
      <c r="A32" s="49"/>
      <c r="B32" s="49"/>
      <c r="C32" s="49"/>
      <c r="D32" s="49"/>
      <c r="E32" s="49"/>
      <c r="F32" s="49"/>
      <c r="G32" s="49"/>
      <c r="H32" s="49"/>
    </row>
    <row r="33" spans="1:8" ht="275.25" customHeight="1" x14ac:dyDescent="0.25">
      <c r="A33" s="311" t="s">
        <v>329</v>
      </c>
      <c r="B33" s="310"/>
      <c r="C33" s="310"/>
      <c r="D33" s="310"/>
      <c r="E33" s="310"/>
      <c r="F33" s="310"/>
      <c r="G33" s="310"/>
      <c r="H33" s="310"/>
    </row>
    <row r="35" spans="1:8" ht="158.25" customHeight="1" x14ac:dyDescent="0.25">
      <c r="A35" s="317" t="s">
        <v>289</v>
      </c>
      <c r="B35" s="317"/>
      <c r="C35" s="317"/>
      <c r="D35" s="317"/>
      <c r="E35" s="317"/>
      <c r="F35" s="317"/>
      <c r="G35" s="317"/>
      <c r="H35" s="317"/>
    </row>
    <row r="37" spans="1:8" ht="33.75" customHeight="1" x14ac:dyDescent="0.25">
      <c r="A37" s="316" t="s">
        <v>258</v>
      </c>
      <c r="B37" s="316"/>
      <c r="C37" s="316"/>
      <c r="D37" s="316"/>
      <c r="E37" s="316"/>
      <c r="F37" s="316"/>
      <c r="G37" s="316"/>
      <c r="H37" s="316"/>
    </row>
    <row r="38" spans="1:8" ht="52.5" customHeight="1" x14ac:dyDescent="0.25">
      <c r="A38" s="310" t="s">
        <v>334</v>
      </c>
      <c r="B38" s="310"/>
      <c r="C38" s="310"/>
      <c r="D38" s="310"/>
      <c r="E38" s="310"/>
      <c r="F38" s="310"/>
      <c r="G38" s="310"/>
      <c r="H38" s="310"/>
    </row>
    <row r="39" spans="1:8" x14ac:dyDescent="0.25">
      <c r="A39" s="49"/>
      <c r="B39" s="49"/>
      <c r="C39" s="49"/>
      <c r="D39" s="49"/>
      <c r="E39" s="49"/>
      <c r="F39" s="49"/>
      <c r="G39" s="49"/>
      <c r="H39" s="49"/>
    </row>
    <row r="40" spans="1:8" ht="222" customHeight="1" x14ac:dyDescent="0.25">
      <c r="A40" s="310" t="s">
        <v>264</v>
      </c>
      <c r="B40" s="310"/>
      <c r="C40" s="310"/>
      <c r="D40" s="310"/>
      <c r="E40" s="310"/>
      <c r="F40" s="310"/>
      <c r="G40" s="310"/>
      <c r="H40" s="310"/>
    </row>
    <row r="41" spans="1:8" x14ac:dyDescent="0.25">
      <c r="A41" s="49"/>
      <c r="B41" s="49"/>
      <c r="C41" s="49"/>
      <c r="D41" s="49"/>
      <c r="E41" s="49"/>
      <c r="F41" s="49"/>
      <c r="G41" s="49"/>
      <c r="H41" s="49"/>
    </row>
    <row r="42" spans="1:8" ht="86.25" customHeight="1" x14ac:dyDescent="0.25">
      <c r="A42" s="311" t="s">
        <v>330</v>
      </c>
      <c r="B42" s="310"/>
      <c r="C42" s="310"/>
      <c r="D42" s="310"/>
      <c r="E42" s="310"/>
      <c r="F42" s="310"/>
      <c r="G42" s="310"/>
      <c r="H42" s="310"/>
    </row>
    <row r="43" spans="1:8" x14ac:dyDescent="0.25">
      <c r="A43" s="36"/>
      <c r="B43" s="36"/>
      <c r="C43" s="36"/>
      <c r="D43" s="36"/>
      <c r="E43" s="36"/>
      <c r="F43" s="36"/>
      <c r="G43" s="36"/>
      <c r="H43" s="36"/>
    </row>
    <row r="44" spans="1:8" ht="67.5" customHeight="1" x14ac:dyDescent="0.25">
      <c r="A44" s="310" t="str">
        <f>+"Al precio de la propuesta (menor precio) se le asignará: "&amp;Datos!R57&amp;" 
Al cumplir con las condiciones técnicas (calidad): "&amp;Datos!R58&amp;"
A las demás propuestas se les asignará valores inferiores al criterio de evaluador."</f>
        <v>Al precio de la propuesta (menor precio) se le asignará: 70% 
Al cumplir con las condiciones técnicas (calidad): 30%
A las demás propuestas se les asignará valores inferiores al criterio de evaluador.</v>
      </c>
      <c r="B44" s="310"/>
      <c r="C44" s="310"/>
      <c r="D44" s="310"/>
      <c r="E44" s="310"/>
      <c r="F44" s="310"/>
      <c r="G44" s="310"/>
      <c r="H44" s="310"/>
    </row>
    <row r="45" spans="1:8" x14ac:dyDescent="0.25">
      <c r="A45" s="169"/>
      <c r="B45" s="169"/>
      <c r="C45" s="169"/>
      <c r="D45" s="169"/>
      <c r="E45" s="169"/>
      <c r="F45" s="169"/>
      <c r="G45" s="169"/>
      <c r="H45" s="169"/>
    </row>
    <row r="46" spans="1:8" ht="111.75" customHeight="1" x14ac:dyDescent="0.25">
      <c r="A46" s="311" t="s">
        <v>336</v>
      </c>
      <c r="B46" s="310"/>
      <c r="C46" s="310"/>
      <c r="D46" s="310"/>
      <c r="E46" s="310"/>
      <c r="F46" s="310"/>
      <c r="G46" s="310"/>
      <c r="H46" s="310"/>
    </row>
    <row r="47" spans="1:8" ht="129" customHeight="1" x14ac:dyDescent="0.25">
      <c r="A47" s="339" t="s">
        <v>338</v>
      </c>
      <c r="B47" s="339"/>
      <c r="C47" s="339"/>
      <c r="D47" s="339"/>
      <c r="E47" s="339"/>
      <c r="F47" s="339"/>
      <c r="G47" s="339"/>
      <c r="H47" s="339"/>
    </row>
    <row r="48" spans="1:8" x14ac:dyDescent="0.25">
      <c r="A48" s="49"/>
      <c r="B48" s="49"/>
      <c r="C48" s="49"/>
      <c r="D48" s="49"/>
      <c r="E48" s="49"/>
      <c r="F48" s="49"/>
      <c r="G48" s="49"/>
      <c r="H48" s="49"/>
    </row>
    <row r="49" spans="1:8" ht="36.75" customHeight="1" x14ac:dyDescent="0.25">
      <c r="A49" s="310" t="s">
        <v>193</v>
      </c>
      <c r="B49" s="310"/>
      <c r="C49" s="310"/>
      <c r="D49" s="310"/>
      <c r="E49" s="310"/>
      <c r="F49" s="310"/>
      <c r="G49" s="310"/>
      <c r="H49" s="310"/>
    </row>
    <row r="50" spans="1:8" ht="14.25" customHeight="1" x14ac:dyDescent="0.25">
      <c r="A50" s="212"/>
      <c r="B50" s="212"/>
      <c r="C50" s="212"/>
      <c r="D50" s="212"/>
      <c r="E50" s="212"/>
      <c r="F50" s="212"/>
      <c r="G50" s="212"/>
      <c r="H50" s="212"/>
    </row>
    <row r="51" spans="1:8" ht="57" customHeight="1" x14ac:dyDescent="0.25">
      <c r="A51" s="331" t="s">
        <v>347</v>
      </c>
      <c r="B51" s="331"/>
      <c r="C51" s="331"/>
      <c r="D51" s="331"/>
      <c r="E51" s="331"/>
      <c r="F51" s="331"/>
      <c r="G51" s="331"/>
      <c r="H51" s="331"/>
    </row>
    <row r="52" spans="1:8" ht="107.25" customHeight="1" x14ac:dyDescent="0.25">
      <c r="A52" s="331" t="s">
        <v>343</v>
      </c>
      <c r="B52" s="331"/>
      <c r="C52" s="331"/>
      <c r="D52" s="331"/>
      <c r="E52" s="331"/>
      <c r="F52" s="331"/>
      <c r="G52" s="331"/>
      <c r="H52" s="331"/>
    </row>
    <row r="53" spans="1:8" x14ac:dyDescent="0.25">
      <c r="A53" s="49"/>
      <c r="B53" s="49"/>
      <c r="C53" s="49"/>
      <c r="D53" s="49"/>
      <c r="E53" s="49"/>
      <c r="F53" s="49"/>
      <c r="G53" s="49"/>
      <c r="H53" s="49"/>
    </row>
    <row r="54" spans="1:8" x14ac:dyDescent="0.25">
      <c r="A54" s="331" t="s">
        <v>194</v>
      </c>
      <c r="B54" s="331"/>
      <c r="C54" s="331"/>
      <c r="D54" s="331"/>
      <c r="E54" s="331"/>
      <c r="F54" s="331"/>
      <c r="G54" s="331"/>
      <c r="H54" s="331"/>
    </row>
    <row r="55" spans="1:8" x14ac:dyDescent="0.25">
      <c r="A55" s="36"/>
      <c r="B55" s="36"/>
      <c r="C55" s="36"/>
      <c r="D55" s="36"/>
      <c r="E55" s="36"/>
      <c r="F55" s="36"/>
      <c r="G55" s="36"/>
      <c r="H55" s="36"/>
    </row>
    <row r="56" spans="1:8" x14ac:dyDescent="0.25">
      <c r="A56" s="338" t="s">
        <v>147</v>
      </c>
      <c r="B56" s="338"/>
      <c r="C56" s="338"/>
      <c r="D56" s="338"/>
      <c r="E56" s="338" t="s">
        <v>150</v>
      </c>
      <c r="F56" s="338"/>
      <c r="G56" s="338" t="s">
        <v>149</v>
      </c>
      <c r="H56" s="338"/>
    </row>
    <row r="57" spans="1:8" ht="34.5" customHeight="1" x14ac:dyDescent="0.25">
      <c r="A57" s="335" t="s">
        <v>148</v>
      </c>
      <c r="B57" s="335"/>
      <c r="C57" s="335"/>
      <c r="D57" s="335"/>
      <c r="E57" s="336" t="str">
        <f>Datos!J49</f>
        <v>4 de mayo de 2020</v>
      </c>
      <c r="F57" s="336"/>
      <c r="G57" s="336" t="s">
        <v>339</v>
      </c>
      <c r="H57" s="336"/>
    </row>
    <row r="58" spans="1:8" ht="39" customHeight="1" x14ac:dyDescent="0.25">
      <c r="A58" s="335" t="s">
        <v>208</v>
      </c>
      <c r="B58" s="335"/>
      <c r="C58" s="335"/>
      <c r="D58" s="335"/>
      <c r="E58" s="336" t="str">
        <f>+"Hasta el  "&amp;Datos!J51&amp;""</f>
        <v>Hasta el  6 de mayo de 2020</v>
      </c>
      <c r="F58" s="336"/>
      <c r="G58" s="336" t="s">
        <v>340</v>
      </c>
      <c r="H58" s="336"/>
    </row>
    <row r="59" spans="1:8" x14ac:dyDescent="0.25">
      <c r="A59" s="335" t="s">
        <v>209</v>
      </c>
      <c r="B59" s="335"/>
      <c r="C59" s="335"/>
      <c r="D59" s="335"/>
      <c r="E59" s="336" t="str">
        <f>Datos!J53</f>
        <v>6 de mayo de 2020</v>
      </c>
      <c r="F59" s="336"/>
      <c r="G59" s="336" t="s">
        <v>348</v>
      </c>
      <c r="H59" s="336"/>
    </row>
    <row r="60" spans="1:8" ht="39" customHeight="1" x14ac:dyDescent="0.25">
      <c r="A60" s="335" t="s">
        <v>210</v>
      </c>
      <c r="B60" s="335"/>
      <c r="C60" s="335"/>
      <c r="D60" s="335"/>
      <c r="E60" s="336" t="str">
        <f>Datos!J57</f>
        <v>6 de mayo de 2020</v>
      </c>
      <c r="F60" s="336"/>
      <c r="G60" s="336" t="s">
        <v>349</v>
      </c>
      <c r="H60" s="336"/>
    </row>
    <row r="61" spans="1:8" ht="59.25" customHeight="1" x14ac:dyDescent="0.25">
      <c r="A61" s="335" t="s">
        <v>96</v>
      </c>
      <c r="B61" s="335"/>
      <c r="C61" s="335"/>
      <c r="D61" s="335"/>
      <c r="E61" s="336" t="str">
        <f>Datos!J59</f>
        <v>7 de mayo de 2020</v>
      </c>
      <c r="F61" s="336"/>
      <c r="G61" s="336" t="s">
        <v>350</v>
      </c>
      <c r="H61" s="336"/>
    </row>
    <row r="62" spans="1:8" ht="25.5" customHeight="1" x14ac:dyDescent="0.25">
      <c r="A62" s="335" t="s">
        <v>152</v>
      </c>
      <c r="B62" s="335"/>
      <c r="C62" s="335"/>
      <c r="D62" s="335"/>
      <c r="E62" s="336" t="str">
        <f>Datos!J61</f>
        <v>8 de mayo de 2020</v>
      </c>
      <c r="F62" s="336"/>
      <c r="G62" s="336" t="s">
        <v>341</v>
      </c>
      <c r="H62" s="336"/>
    </row>
    <row r="63" spans="1:8" ht="24" customHeight="1" x14ac:dyDescent="0.25">
      <c r="A63" s="335" t="s">
        <v>153</v>
      </c>
      <c r="B63" s="335"/>
      <c r="C63" s="335"/>
      <c r="D63" s="335"/>
      <c r="E63" s="341" t="str">
        <f>Datos!J63</f>
        <v>11 de mayo de 2020</v>
      </c>
      <c r="F63" s="336"/>
      <c r="G63" s="336" t="s">
        <v>351</v>
      </c>
      <c r="H63" s="336"/>
    </row>
    <row r="64" spans="1:8" ht="52.5" customHeight="1" x14ac:dyDescent="0.25">
      <c r="A64" s="335" t="s">
        <v>202</v>
      </c>
      <c r="B64" s="335"/>
      <c r="C64" s="335"/>
      <c r="D64" s="335"/>
      <c r="E64" s="341" t="s">
        <v>376</v>
      </c>
      <c r="F64" s="336"/>
      <c r="G64" s="336" t="s">
        <v>342</v>
      </c>
      <c r="H64" s="336"/>
    </row>
    <row r="65" spans="1:8" x14ac:dyDescent="0.25">
      <c r="A65" s="340"/>
      <c r="B65" s="340"/>
      <c r="C65" s="340"/>
      <c r="D65" s="340"/>
      <c r="E65" s="340"/>
      <c r="F65" s="340"/>
      <c r="G65" s="340"/>
      <c r="H65" s="340"/>
    </row>
    <row r="66" spans="1:8" ht="54" customHeight="1" x14ac:dyDescent="0.25">
      <c r="A66" s="310" t="str">
        <f>+"PUBLICACIÓN:   La publicación del presente aviso se realiza en la pagina web de la  "&amp;Datos!B49&amp;", ubicada en la "&amp;Datos!B55&amp;", teléfono "&amp;Datos!B56&amp;", en las fechas: del "&amp;Datos!J49&amp;" "&amp;E58&amp;", en los horarios estipulados por la Rectoría."</f>
        <v>PUBLICACIÓN:   La publicación del presente aviso se realiza en la pagina web de la  INSTITUCIÓN EDUCATIVA JOAQUIN VALLEJO ARBELAEZ, ubicada en la CARRERA 19 N° 59 C 175, teléfono 292 61 99, en las fechas: del 4 de mayo de 2020 Hasta el  6 de mayo de 2020, en los horarios estipulados por la Rectoría.</v>
      </c>
      <c r="B66" s="310"/>
      <c r="C66" s="310"/>
      <c r="D66" s="310"/>
      <c r="E66" s="310"/>
      <c r="F66" s="310"/>
      <c r="G66" s="310"/>
      <c r="H66" s="310"/>
    </row>
    <row r="67" spans="1:8" x14ac:dyDescent="0.25">
      <c r="A67" s="33"/>
      <c r="B67" s="33"/>
      <c r="C67" s="33"/>
      <c r="D67" s="33"/>
      <c r="E67" s="33"/>
      <c r="F67" s="33"/>
      <c r="G67" s="33"/>
      <c r="H67" s="33"/>
    </row>
    <row r="68" spans="1:8" x14ac:dyDescent="0.25">
      <c r="A68" s="149"/>
      <c r="B68" s="149"/>
      <c r="C68" s="149"/>
      <c r="D68" s="149"/>
      <c r="E68" s="149"/>
      <c r="F68" s="149"/>
      <c r="G68" s="149"/>
      <c r="H68" s="149"/>
    </row>
    <row r="69" spans="1:8" x14ac:dyDescent="0.25">
      <c r="A69" s="36"/>
      <c r="B69" s="36"/>
      <c r="C69" s="36"/>
      <c r="D69" s="36"/>
      <c r="E69" s="36"/>
      <c r="F69" s="36"/>
      <c r="G69" s="36"/>
      <c r="H69" s="36"/>
    </row>
    <row r="70" spans="1:8" x14ac:dyDescent="0.25">
      <c r="A70" s="36"/>
      <c r="B70" s="36"/>
      <c r="C70" s="36"/>
      <c r="D70" s="36"/>
      <c r="E70" s="36"/>
      <c r="F70" s="36"/>
      <c r="G70" s="36"/>
      <c r="H70" s="36"/>
    </row>
    <row r="71" spans="1:8" x14ac:dyDescent="0.25">
      <c r="A71" s="36"/>
      <c r="B71" s="36"/>
      <c r="C71" s="36"/>
      <c r="D71" s="36"/>
      <c r="E71" s="36"/>
      <c r="F71" s="36"/>
      <c r="G71" s="36"/>
      <c r="H71" s="36"/>
    </row>
    <row r="72" spans="1:8" ht="35.25" customHeight="1" x14ac:dyDescent="0.25">
      <c r="B72" s="25"/>
      <c r="C72" s="325" t="str">
        <f>+'Est Prev'!D55:D55</f>
        <v>CARLOS MARIO GIRALDO JIMENEZ
Rector</v>
      </c>
      <c r="D72" s="325"/>
      <c r="E72" s="325"/>
      <c r="F72" s="25"/>
      <c r="G72" s="25"/>
      <c r="H72" s="25"/>
    </row>
    <row r="74" spans="1:8" x14ac:dyDescent="0.25">
      <c r="A74" t="s">
        <v>237</v>
      </c>
      <c r="B74" s="334" t="str">
        <f>+Datos!J49</f>
        <v>4 de mayo de 2020</v>
      </c>
      <c r="C74" s="334"/>
      <c r="D74" s="334"/>
    </row>
    <row r="77" spans="1:8" x14ac:dyDescent="0.25">
      <c r="A77" s="1"/>
      <c r="B77" s="1"/>
      <c r="C77" s="1"/>
      <c r="D77" s="1"/>
      <c r="E77" s="1"/>
    </row>
    <row r="78" spans="1:8" x14ac:dyDescent="0.25">
      <c r="A78" s="215"/>
      <c r="B78" s="1"/>
      <c r="C78" s="1"/>
      <c r="D78" s="1"/>
      <c r="E78" s="1"/>
    </row>
    <row r="79" spans="1:8" ht="24" customHeight="1" x14ac:dyDescent="0.25">
      <c r="A79" s="215"/>
      <c r="B79" s="1"/>
      <c r="C79" s="1"/>
      <c r="D79" s="1"/>
      <c r="E79" s="1"/>
    </row>
    <row r="80" spans="1:8" ht="26.25" customHeight="1" x14ac:dyDescent="0.25">
      <c r="A80" s="215"/>
      <c r="B80" s="1"/>
      <c r="C80" s="1"/>
      <c r="D80" s="1"/>
      <c r="E80" s="1"/>
    </row>
  </sheetData>
  <mergeCells count="82">
    <mergeCell ref="A26:B26"/>
    <mergeCell ref="C25:H25"/>
    <mergeCell ref="C26:H26"/>
    <mergeCell ref="A23:B23"/>
    <mergeCell ref="A24:B24"/>
    <mergeCell ref="C23:H23"/>
    <mergeCell ref="C24:H24"/>
    <mergeCell ref="A25:B25"/>
    <mergeCell ref="A20:B20"/>
    <mergeCell ref="A21:B21"/>
    <mergeCell ref="A22:B22"/>
    <mergeCell ref="C17:H17"/>
    <mergeCell ref="C18:H18"/>
    <mergeCell ref="C19:H19"/>
    <mergeCell ref="C20:H20"/>
    <mergeCell ref="C21:H21"/>
    <mergeCell ref="C22:H22"/>
    <mergeCell ref="A62:D62"/>
    <mergeCell ref="E61:F61"/>
    <mergeCell ref="E64:F64"/>
    <mergeCell ref="G64:H64"/>
    <mergeCell ref="A63:D63"/>
    <mergeCell ref="A64:D64"/>
    <mergeCell ref="G63:H63"/>
    <mergeCell ref="G62:H62"/>
    <mergeCell ref="G61:H61"/>
    <mergeCell ref="E62:F62"/>
    <mergeCell ref="E63:F63"/>
    <mergeCell ref="A61:D61"/>
    <mergeCell ref="C72:E72"/>
    <mergeCell ref="A66:H66"/>
    <mergeCell ref="A65:D65"/>
    <mergeCell ref="E65:F65"/>
    <mergeCell ref="G65:H65"/>
    <mergeCell ref="A56:D56"/>
    <mergeCell ref="A46:H46"/>
    <mergeCell ref="A49:H49"/>
    <mergeCell ref="G56:H56"/>
    <mergeCell ref="A47:H47"/>
    <mergeCell ref="A51:H51"/>
    <mergeCell ref="A52:H52"/>
    <mergeCell ref="E56:F56"/>
    <mergeCell ref="A60:D60"/>
    <mergeCell ref="E60:F60"/>
    <mergeCell ref="G60:H60"/>
    <mergeCell ref="A57:D57"/>
    <mergeCell ref="E57:F57"/>
    <mergeCell ref="A58:D58"/>
    <mergeCell ref="G58:H58"/>
    <mergeCell ref="E58:F58"/>
    <mergeCell ref="A14:B14"/>
    <mergeCell ref="A54:H54"/>
    <mergeCell ref="C15:H15"/>
    <mergeCell ref="A15:B15"/>
    <mergeCell ref="A16:B16"/>
    <mergeCell ref="A35:H35"/>
    <mergeCell ref="A33:H33"/>
    <mergeCell ref="C14:H14"/>
    <mergeCell ref="A28:H28"/>
    <mergeCell ref="A31:H31"/>
    <mergeCell ref="A40:H40"/>
    <mergeCell ref="A38:H38"/>
    <mergeCell ref="A42:H42"/>
    <mergeCell ref="A17:B17"/>
    <mergeCell ref="A18:B18"/>
    <mergeCell ref="A19:B19"/>
    <mergeCell ref="B74:D74"/>
    <mergeCell ref="A1:H1"/>
    <mergeCell ref="A29:H29"/>
    <mergeCell ref="A59:D59"/>
    <mergeCell ref="E59:F59"/>
    <mergeCell ref="G59:H59"/>
    <mergeCell ref="G57:H57"/>
    <mergeCell ref="A12:H12"/>
    <mergeCell ref="C16:H16"/>
    <mergeCell ref="A2:H2"/>
    <mergeCell ref="A4:H4"/>
    <mergeCell ref="A37:H37"/>
    <mergeCell ref="A44:H44"/>
    <mergeCell ref="A6:H6"/>
    <mergeCell ref="A8:H8"/>
    <mergeCell ref="A10:H10"/>
  </mergeCells>
  <printOptions horizontalCentered="1"/>
  <pageMargins left="0.4" right="0.27559055118110237" top="1.74" bottom="1.1000000000000001" header="0.31496062992125984" footer="0.2"/>
  <pageSetup paperSize="9" scale="96" orientation="portrait" r:id="rId1"/>
  <headerFooter>
    <oddHeader>&amp;C&amp;G</oddHeader>
    <oddFooter>&amp;C&amp;G
Página &amp;P de &amp;N&amp;RInvitación Pública</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Layout" topLeftCell="A13" zoomScaleNormal="100" workbookViewId="0">
      <selection activeCell="F21" sqref="F21"/>
    </sheetView>
  </sheetViews>
  <sheetFormatPr baseColWidth="10" defaultRowHeight="15" x14ac:dyDescent="0.25"/>
  <cols>
    <col min="1" max="1" width="5.85546875" customWidth="1"/>
    <col min="3" max="3" width="16.28515625" customWidth="1"/>
    <col min="4" max="4" width="4.7109375" customWidth="1"/>
    <col min="5" max="5" width="10.5703125" customWidth="1"/>
    <col min="8" max="8" width="11.140625" customWidth="1"/>
    <col min="9" max="9" width="17.5703125" customWidth="1"/>
  </cols>
  <sheetData>
    <row r="1" spans="1:9" ht="18" customHeight="1" x14ac:dyDescent="0.25">
      <c r="A1" s="342" t="s">
        <v>103</v>
      </c>
      <c r="B1" s="342"/>
      <c r="C1" s="342"/>
      <c r="D1" s="342"/>
      <c r="E1" s="342"/>
      <c r="F1" s="342"/>
      <c r="G1" s="342"/>
      <c r="H1" s="342"/>
      <c r="I1" s="342"/>
    </row>
    <row r="2" spans="1:9" ht="18" customHeight="1" x14ac:dyDescent="0.25">
      <c r="A2" s="343" t="str">
        <f>+"Según Invitación Pública No. IP. "&amp;Datos!C18&amp;""</f>
        <v>Según Invitación Pública No. IP. 005-03-2020</v>
      </c>
      <c r="B2" s="343"/>
      <c r="C2" s="343"/>
      <c r="D2" s="343"/>
      <c r="E2" s="343"/>
      <c r="F2" s="343"/>
      <c r="G2" s="343"/>
      <c r="H2" s="343"/>
      <c r="I2" s="343"/>
    </row>
    <row r="3" spans="1:9" ht="18" customHeight="1" x14ac:dyDescent="0.25"/>
    <row r="4" spans="1:9" ht="63" customHeight="1" x14ac:dyDescent="0.25">
      <c r="A4" s="347" t="str">
        <f>+"Cuyo objeto es: "&amp;Datos!C8&amp;"."</f>
        <v>Cuyo objeto es: Compra de textos escolares de 6° a 11°.</v>
      </c>
      <c r="B4" s="347"/>
      <c r="C4" s="347"/>
      <c r="D4" s="347"/>
      <c r="E4" s="347"/>
      <c r="F4" s="347"/>
      <c r="G4" s="347"/>
      <c r="H4" s="347"/>
      <c r="I4" s="347"/>
    </row>
    <row r="5" spans="1:9" ht="15" customHeight="1" x14ac:dyDescent="0.25">
      <c r="A5" s="5"/>
      <c r="B5" s="5"/>
      <c r="C5" s="5"/>
      <c r="D5" s="5"/>
      <c r="E5" s="5"/>
      <c r="F5" s="5"/>
      <c r="G5" s="5"/>
      <c r="H5" s="5"/>
      <c r="I5" s="5"/>
    </row>
    <row r="7" spans="1:9" ht="24.75" customHeight="1" x14ac:dyDescent="0.25">
      <c r="A7" s="52" t="s">
        <v>104</v>
      </c>
      <c r="B7" s="348" t="s">
        <v>105</v>
      </c>
      <c r="C7" s="348"/>
      <c r="D7" s="348"/>
      <c r="E7" s="348"/>
      <c r="F7" s="348" t="s">
        <v>106</v>
      </c>
      <c r="G7" s="348"/>
      <c r="H7" s="348"/>
      <c r="I7" s="348"/>
    </row>
    <row r="8" spans="1:9" ht="35.1" customHeight="1" x14ac:dyDescent="0.25">
      <c r="A8" s="52">
        <v>1</v>
      </c>
      <c r="B8" s="349"/>
      <c r="C8" s="349"/>
      <c r="D8" s="349"/>
      <c r="E8" s="349"/>
      <c r="F8" s="350"/>
      <c r="G8" s="350"/>
      <c r="H8" s="350"/>
      <c r="I8" s="350"/>
    </row>
    <row r="9" spans="1:9" ht="35.1" customHeight="1" x14ac:dyDescent="0.25">
      <c r="A9" s="52">
        <v>2</v>
      </c>
      <c r="B9" s="349"/>
      <c r="C9" s="349"/>
      <c r="D9" s="349"/>
      <c r="E9" s="349"/>
      <c r="F9" s="350"/>
      <c r="G9" s="350"/>
      <c r="H9" s="350"/>
      <c r="I9" s="350"/>
    </row>
    <row r="10" spans="1:9" ht="35.1" customHeight="1" x14ac:dyDescent="0.25">
      <c r="A10" s="52">
        <v>3</v>
      </c>
      <c r="B10" s="349"/>
      <c r="C10" s="349"/>
      <c r="D10" s="349"/>
      <c r="E10" s="349"/>
      <c r="F10" s="350"/>
      <c r="G10" s="350"/>
      <c r="H10" s="350"/>
      <c r="I10" s="350"/>
    </row>
    <row r="11" spans="1:9" ht="35.1" customHeight="1" x14ac:dyDescent="0.25">
      <c r="A11" s="53">
        <v>4</v>
      </c>
      <c r="B11" s="344"/>
      <c r="C11" s="345"/>
      <c r="D11" s="345"/>
      <c r="E11" s="346"/>
      <c r="F11" s="344"/>
      <c r="G11" s="345"/>
      <c r="H11" s="345"/>
      <c r="I11" s="346"/>
    </row>
    <row r="15" spans="1:9" ht="15.75" customHeight="1" x14ac:dyDescent="0.25">
      <c r="A15" s="351" t="s">
        <v>211</v>
      </c>
      <c r="B15" s="351"/>
      <c r="C15" s="351"/>
      <c r="D15" s="351"/>
      <c r="E15" s="351"/>
      <c r="F15" s="351"/>
      <c r="G15" s="351"/>
      <c r="H15" s="351"/>
      <c r="I15" s="351"/>
    </row>
    <row r="16" spans="1:9" ht="15.75" customHeight="1" x14ac:dyDescent="0.25">
      <c r="A16" s="351"/>
      <c r="B16" s="351"/>
      <c r="C16" s="351"/>
      <c r="D16" s="351"/>
      <c r="E16" s="351"/>
      <c r="F16" s="351"/>
      <c r="G16" s="351"/>
      <c r="H16" s="351"/>
      <c r="I16" s="351"/>
    </row>
    <row r="17" spans="1:9" ht="15.75" x14ac:dyDescent="0.25">
      <c r="A17" s="6"/>
    </row>
    <row r="18" spans="1:9" ht="15.75" x14ac:dyDescent="0.25">
      <c r="A18" s="6"/>
    </row>
    <row r="19" spans="1:9" ht="15.75" x14ac:dyDescent="0.25">
      <c r="A19" s="6"/>
    </row>
    <row r="20" spans="1:9" ht="15.75" x14ac:dyDescent="0.25">
      <c r="A20" s="6"/>
    </row>
    <row r="21" spans="1:9" ht="15.75" x14ac:dyDescent="0.25">
      <c r="A21" s="6"/>
    </row>
    <row r="22" spans="1:9" ht="15.75" x14ac:dyDescent="0.25">
      <c r="A22" s="6"/>
    </row>
    <row r="23" spans="1:9" ht="33" customHeight="1" x14ac:dyDescent="0.25">
      <c r="B23" s="25"/>
      <c r="C23" s="25"/>
      <c r="D23" s="325" t="str">
        <f>+Datos!B51</f>
        <v>CARLOS MARIO GIRALDO JIMENEZ
Rector</v>
      </c>
      <c r="E23" s="325"/>
      <c r="F23" s="325"/>
      <c r="G23" s="325"/>
      <c r="H23" s="25"/>
      <c r="I23" s="25"/>
    </row>
    <row r="25" spans="1:9" x14ac:dyDescent="0.25">
      <c r="A25" s="7"/>
    </row>
    <row r="26" spans="1:9" x14ac:dyDescent="0.25">
      <c r="A26" s="7"/>
    </row>
  </sheetData>
  <mergeCells count="15">
    <mergeCell ref="A1:I1"/>
    <mergeCell ref="A2:I2"/>
    <mergeCell ref="D23:G23"/>
    <mergeCell ref="F11:I11"/>
    <mergeCell ref="B11:E11"/>
    <mergeCell ref="A4:I4"/>
    <mergeCell ref="B7:E7"/>
    <mergeCell ref="F7:I7"/>
    <mergeCell ref="B8:E8"/>
    <mergeCell ref="F8:I8"/>
    <mergeCell ref="B9:E9"/>
    <mergeCell ref="F9:I9"/>
    <mergeCell ref="B10:E10"/>
    <mergeCell ref="F10:I10"/>
    <mergeCell ref="A15:I16"/>
  </mergeCells>
  <printOptions horizontalCentered="1" verticalCentered="1"/>
  <pageMargins left="0.15748031496062992" right="0.43307086614173229" top="1.7515624999999999" bottom="1.0489583333333334" header="0.31496062992125984" footer="0.19791666666666666"/>
  <pageSetup scale="95" orientation="portrait" r:id="rId1"/>
  <headerFooter>
    <oddHeader>&amp;C&amp;G</oddHeader>
    <oddFooter>&amp;C&amp;G
Página &amp;P de &amp;N&amp;RActa de Recepción de Propuestas</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Layout" topLeftCell="A7" zoomScaleNormal="100" workbookViewId="0">
      <selection activeCell="D18" sqref="D18"/>
    </sheetView>
  </sheetViews>
  <sheetFormatPr baseColWidth="10" defaultRowHeight="15" x14ac:dyDescent="0.25"/>
  <cols>
    <col min="1" max="1" width="9.42578125" customWidth="1"/>
    <col min="2" max="2" width="13.28515625" customWidth="1"/>
    <col min="3" max="3" width="12.28515625" customWidth="1"/>
    <col min="4" max="4" width="13.7109375" customWidth="1"/>
    <col min="5" max="5" width="15.42578125" customWidth="1"/>
    <col min="6" max="6" width="3.7109375" customWidth="1"/>
    <col min="7" max="7" width="14.28515625" customWidth="1"/>
    <col min="8" max="8" width="8.5703125" customWidth="1"/>
  </cols>
  <sheetData>
    <row r="1" spans="1:8" ht="18.75" x14ac:dyDescent="0.25">
      <c r="A1" s="355" t="s">
        <v>107</v>
      </c>
      <c r="B1" s="355"/>
      <c r="C1" s="355"/>
      <c r="D1" s="355"/>
      <c r="E1" s="355"/>
      <c r="F1" s="355"/>
      <c r="G1" s="355"/>
      <c r="H1" s="355"/>
    </row>
    <row r="2" spans="1:8" x14ac:dyDescent="0.25">
      <c r="A2" s="356" t="str">
        <f>+"Para la Invitación Pública No. IP. "&amp;Datos!C18&amp;""</f>
        <v>Para la Invitación Pública No. IP. 005-03-2020</v>
      </c>
      <c r="B2" s="356"/>
      <c r="C2" s="356"/>
      <c r="D2" s="356"/>
      <c r="E2" s="356"/>
      <c r="F2" s="356"/>
      <c r="G2" s="356"/>
      <c r="H2" s="356"/>
    </row>
    <row r="4" spans="1:8" ht="36.75" customHeight="1" x14ac:dyDescent="0.25">
      <c r="A4" s="337" t="str">
        <f>+"En las Instalaciones de la "&amp;Datos!B49&amp;" se presentaron las siguientes ofertas para el proceso de contratación cuyo objeto es: "</f>
        <v xml:space="preserve">En las Instalaciones de la INSTITUCIÓN EDUCATIVA JOAQUIN VALLEJO ARBELAEZ se presentaron las siguientes ofertas para el proceso de contratación cuyo objeto es: </v>
      </c>
      <c r="B4" s="337"/>
      <c r="C4" s="337"/>
      <c r="D4" s="337"/>
      <c r="E4" s="337"/>
      <c r="F4" s="337"/>
      <c r="G4" s="337"/>
      <c r="H4" s="337"/>
    </row>
    <row r="6" spans="1:8" ht="48" customHeight="1" x14ac:dyDescent="0.25">
      <c r="A6" s="357" t="str">
        <f>Datos!C8</f>
        <v>Compra de textos escolares de 6° a 11°</v>
      </c>
      <c r="B6" s="357"/>
      <c r="C6" s="357"/>
      <c r="D6" s="357"/>
      <c r="E6" s="357"/>
      <c r="F6" s="357"/>
      <c r="G6" s="357"/>
      <c r="H6" s="357"/>
    </row>
    <row r="7" spans="1:8" x14ac:dyDescent="0.25">
      <c r="A7" s="8"/>
      <c r="B7" s="8"/>
      <c r="C7" s="8"/>
      <c r="D7" s="8"/>
      <c r="E7" s="8"/>
      <c r="F7" s="8"/>
      <c r="G7" s="8"/>
      <c r="H7" s="8"/>
    </row>
    <row r="8" spans="1:8" ht="30" x14ac:dyDescent="0.25">
      <c r="A8" s="9" t="s">
        <v>108</v>
      </c>
      <c r="B8" s="10" t="s">
        <v>109</v>
      </c>
      <c r="C8" s="358" t="s">
        <v>110</v>
      </c>
      <c r="D8" s="359"/>
      <c r="E8" s="359"/>
      <c r="F8" s="360"/>
      <c r="G8" s="9" t="s">
        <v>33</v>
      </c>
      <c r="H8" s="9" t="s">
        <v>111</v>
      </c>
    </row>
    <row r="9" spans="1:8" x14ac:dyDescent="0.25">
      <c r="A9" s="11">
        <f>+Datos!N17</f>
        <v>1</v>
      </c>
      <c r="B9" s="55">
        <f>IF(ISBLANK(Datos!W17),"",(Datos!W17))</f>
        <v>17240000</v>
      </c>
      <c r="C9" s="361" t="str">
        <f>IF(ISBLANK(Datos!O17),"",(Datos!O17))</f>
        <v>EDITORIAL LIBROS Y LIBROS S.A L Y L S.A</v>
      </c>
      <c r="D9" s="362"/>
      <c r="E9" s="362"/>
      <c r="F9" s="363"/>
      <c r="G9" s="54" t="str">
        <f>IF(ISBLANK(Datos!U17),"",(Datos!U17))</f>
        <v>860.531.396-1</v>
      </c>
      <c r="H9" s="11">
        <f>IF(ISBLANK(Datos!X17),"",(Datos!X17))</f>
        <v>21</v>
      </c>
    </row>
    <row r="10" spans="1:8" x14ac:dyDescent="0.25">
      <c r="A10" s="8"/>
      <c r="B10" s="8"/>
      <c r="C10" s="8"/>
      <c r="D10" s="8"/>
      <c r="E10" s="8"/>
      <c r="F10" s="8"/>
      <c r="G10" s="8"/>
      <c r="H10" s="8"/>
    </row>
    <row r="11" spans="1:8" x14ac:dyDescent="0.25">
      <c r="A11" s="8"/>
      <c r="B11" s="8"/>
      <c r="C11" s="8"/>
      <c r="D11" s="8"/>
      <c r="E11" s="8"/>
      <c r="F11" s="8"/>
      <c r="G11" s="8"/>
      <c r="H11" s="8"/>
    </row>
    <row r="14" spans="1:8" x14ac:dyDescent="0.25">
      <c r="A14" s="353" t="str">
        <f>+"Para constancia, se firma en la fecha: "&amp;Datos!J53&amp;"."</f>
        <v>Para constancia, se firma en la fecha: 6 de mayo de 2020.</v>
      </c>
      <c r="B14" s="353"/>
      <c r="C14" s="353"/>
      <c r="D14" s="353"/>
      <c r="E14" s="353"/>
      <c r="F14" s="353"/>
      <c r="G14" s="353"/>
      <c r="H14" s="353"/>
    </row>
    <row r="20" spans="1:8" ht="32.25" customHeight="1" x14ac:dyDescent="0.25">
      <c r="B20" s="56"/>
      <c r="C20" s="325" t="str">
        <f>+RecepProp!D23</f>
        <v>CARLOS MARIO GIRALDO JIMENEZ
Rector</v>
      </c>
      <c r="D20" s="325"/>
      <c r="E20" s="325"/>
      <c r="F20" s="325"/>
      <c r="G20" s="56"/>
      <c r="H20" s="56"/>
    </row>
    <row r="21" spans="1:8" ht="15.75" x14ac:dyDescent="0.25">
      <c r="A21" s="6"/>
    </row>
    <row r="22" spans="1:8" ht="15.75" x14ac:dyDescent="0.25">
      <c r="A22" s="6"/>
    </row>
    <row r="24" spans="1:8" x14ac:dyDescent="0.25">
      <c r="A24" s="354" t="str">
        <f>"Fecha de desfije de la Invitación: "&amp;Datos!J53&amp;""</f>
        <v>Fecha de desfije de la Invitación: 6 de mayo de 2020</v>
      </c>
      <c r="B24" s="354"/>
      <c r="C24" s="354"/>
      <c r="D24" s="354"/>
    </row>
    <row r="25" spans="1:8" x14ac:dyDescent="0.25">
      <c r="D25" s="35"/>
    </row>
    <row r="26" spans="1:8" x14ac:dyDescent="0.25">
      <c r="D26" s="35"/>
    </row>
    <row r="27" spans="1:8" x14ac:dyDescent="0.25">
      <c r="A27" s="1"/>
      <c r="B27" s="1"/>
      <c r="C27" s="1"/>
      <c r="D27" s="1"/>
    </row>
    <row r="28" spans="1:8" x14ac:dyDescent="0.25">
      <c r="A28" s="215"/>
      <c r="B28" s="1"/>
      <c r="C28" s="1"/>
      <c r="D28" s="1"/>
    </row>
    <row r="29" spans="1:8" ht="22.5" customHeight="1" x14ac:dyDescent="0.25">
      <c r="A29" s="352"/>
      <c r="B29" s="352"/>
      <c r="C29" s="1"/>
      <c r="D29" s="1"/>
    </row>
    <row r="30" spans="1:8" ht="23.25" customHeight="1" x14ac:dyDescent="0.25">
      <c r="A30" s="215"/>
      <c r="B30" s="1"/>
      <c r="C30" s="1"/>
      <c r="D30" s="1"/>
    </row>
    <row r="31" spans="1:8" x14ac:dyDescent="0.25">
      <c r="A31" s="1"/>
      <c r="B31" s="1"/>
      <c r="C31" s="1"/>
      <c r="D31" s="1"/>
    </row>
  </sheetData>
  <mergeCells count="10">
    <mergeCell ref="A29:B29"/>
    <mergeCell ref="A14:H14"/>
    <mergeCell ref="C20:F20"/>
    <mergeCell ref="A24:D24"/>
    <mergeCell ref="A1:H1"/>
    <mergeCell ref="A2:H2"/>
    <mergeCell ref="A6:H6"/>
    <mergeCell ref="C8:F8"/>
    <mergeCell ref="C9:F9"/>
    <mergeCell ref="A4:H4"/>
  </mergeCells>
  <printOptions horizontalCentered="1"/>
  <pageMargins left="0.70866141732283472" right="0.70866141732283472" top="1.7737499999999999" bottom="1.0621875000000001" header="0.31496062992125984" footer="0.19593749999999999"/>
  <pageSetup orientation="portrait" r:id="rId1"/>
  <headerFooter>
    <oddHeader>&amp;C&amp;G</oddHeader>
    <oddFooter>&amp;C&amp;G
Página &amp;P de &amp;N&amp;RActa de Cierre</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Layout" topLeftCell="A40" zoomScaleNormal="85" workbookViewId="0">
      <selection activeCell="E47" sqref="E47"/>
    </sheetView>
  </sheetViews>
  <sheetFormatPr baseColWidth="10" defaultRowHeight="15" x14ac:dyDescent="0.25"/>
  <cols>
    <col min="1" max="1" width="1.7109375" customWidth="1"/>
    <col min="2" max="2" width="12" customWidth="1"/>
    <col min="3" max="3" width="13.85546875" customWidth="1"/>
    <col min="4" max="4" width="10" customWidth="1"/>
    <col min="5" max="5" width="7.42578125" customWidth="1"/>
    <col min="6" max="6" width="6.85546875" customWidth="1"/>
    <col min="7" max="9" width="9.42578125" customWidth="1"/>
    <col min="10" max="10" width="12.28515625" customWidth="1"/>
    <col min="11" max="11" width="0.28515625" customWidth="1"/>
  </cols>
  <sheetData>
    <row r="1" spans="1:11" ht="15.75" x14ac:dyDescent="0.25">
      <c r="A1" s="377" t="s">
        <v>173</v>
      </c>
      <c r="B1" s="377"/>
      <c r="C1" s="377"/>
      <c r="D1" s="377"/>
      <c r="E1" s="377"/>
      <c r="F1" s="377"/>
      <c r="G1" s="377"/>
      <c r="H1" s="377"/>
      <c r="I1" s="377"/>
      <c r="J1" s="377"/>
      <c r="K1" s="377"/>
    </row>
    <row r="3" spans="1:11" x14ac:dyDescent="0.25">
      <c r="B3" s="380" t="s">
        <v>112</v>
      </c>
      <c r="C3" s="380"/>
      <c r="D3" s="381" t="str">
        <f>Datos!J57</f>
        <v>6 de mayo de 2020</v>
      </c>
      <c r="E3" s="382"/>
      <c r="F3" s="380" t="str">
        <f>+"INVITACIÓN PÚBLICA No. IP. "&amp;Datos!C18&amp;""</f>
        <v>INVITACIÓN PÚBLICA No. IP. 005-03-2020</v>
      </c>
      <c r="G3" s="380"/>
      <c r="H3" s="380"/>
      <c r="I3" s="380"/>
      <c r="J3" s="380"/>
    </row>
    <row r="4" spans="1:11" x14ac:dyDescent="0.25">
      <c r="B4" s="383" t="s">
        <v>113</v>
      </c>
      <c r="C4" s="383"/>
      <c r="D4" s="383"/>
      <c r="E4" s="383"/>
      <c r="F4" s="383"/>
      <c r="G4" s="383"/>
      <c r="H4" s="383"/>
      <c r="I4" s="383"/>
      <c r="J4" s="383"/>
    </row>
    <row r="5" spans="1:11" ht="50.25" customHeight="1" x14ac:dyDescent="0.25">
      <c r="B5" s="384" t="str">
        <f>Datos!C8</f>
        <v>Compra de textos escolares de 6° a 11°</v>
      </c>
      <c r="C5" s="385"/>
      <c r="D5" s="385"/>
      <c r="E5" s="385"/>
      <c r="F5" s="385"/>
      <c r="G5" s="385"/>
      <c r="H5" s="385"/>
      <c r="I5" s="385"/>
      <c r="J5" s="385"/>
    </row>
    <row r="6" spans="1:11" x14ac:dyDescent="0.25">
      <c r="B6" s="12"/>
      <c r="C6" s="13"/>
      <c r="D6" s="13"/>
      <c r="E6" s="13"/>
      <c r="F6" s="13"/>
      <c r="G6" s="13"/>
      <c r="H6" s="14"/>
      <c r="I6" s="15"/>
    </row>
    <row r="7" spans="1:11" ht="15" customHeight="1" x14ac:dyDescent="0.25">
      <c r="B7" s="386" t="s">
        <v>114</v>
      </c>
      <c r="C7" s="386"/>
      <c r="D7" s="386"/>
      <c r="E7" s="386"/>
      <c r="F7" s="386"/>
      <c r="G7" s="386"/>
      <c r="H7" s="386"/>
      <c r="I7" s="386"/>
      <c r="J7" s="386"/>
    </row>
    <row r="8" spans="1:11" ht="27.75" customHeight="1" x14ac:dyDescent="0.25">
      <c r="B8" s="2" t="s">
        <v>108</v>
      </c>
      <c r="C8" s="16" t="s">
        <v>115</v>
      </c>
      <c r="D8" s="358" t="s">
        <v>172</v>
      </c>
      <c r="E8" s="359"/>
      <c r="F8" s="359"/>
      <c r="G8" s="359"/>
      <c r="H8" s="360"/>
      <c r="I8" s="378" t="s">
        <v>33</v>
      </c>
      <c r="J8" s="378"/>
    </row>
    <row r="9" spans="1:11" ht="15" customHeight="1" x14ac:dyDescent="0.25">
      <c r="B9" s="157">
        <v>1</v>
      </c>
      <c r="C9" s="158">
        <f>IF(ISBLANK(Datos!W17),"",Datos!W17)</f>
        <v>17240000</v>
      </c>
      <c r="D9" s="387" t="str">
        <f>IF(ISBLANK(Datos!O17),"",Datos!O17)</f>
        <v>EDITORIAL LIBROS Y LIBROS S.A L Y L S.A</v>
      </c>
      <c r="E9" s="387"/>
      <c r="F9" s="387"/>
      <c r="G9" s="387"/>
      <c r="H9" s="387"/>
      <c r="I9" s="379" t="str">
        <f>IF(ISBLANK(Datos!U17),"",Datos!U17)</f>
        <v>860.531.396-1</v>
      </c>
      <c r="J9" s="379"/>
    </row>
    <row r="10" spans="1:11" ht="15" customHeight="1" x14ac:dyDescent="0.25">
      <c r="B10" s="345"/>
      <c r="C10" s="345"/>
      <c r="D10" s="345"/>
      <c r="E10" s="345"/>
      <c r="F10" s="345"/>
      <c r="G10" s="345"/>
      <c r="H10" s="345"/>
      <c r="I10" s="345"/>
      <c r="J10" s="345"/>
    </row>
    <row r="11" spans="1:11" x14ac:dyDescent="0.25">
      <c r="B11" s="388" t="s">
        <v>116</v>
      </c>
      <c r="C11" s="389"/>
      <c r="D11" s="389"/>
      <c r="E11" s="389"/>
      <c r="F11" s="389"/>
      <c r="G11" s="389"/>
      <c r="H11" s="389"/>
      <c r="I11" s="389"/>
      <c r="J11" s="390"/>
    </row>
    <row r="12" spans="1:11" ht="27.75" customHeight="1" x14ac:dyDescent="0.25">
      <c r="B12" s="396" t="s">
        <v>56</v>
      </c>
      <c r="C12" s="396"/>
      <c r="D12" s="396"/>
      <c r="E12" s="396"/>
      <c r="F12" s="396"/>
      <c r="G12" s="17" t="s">
        <v>57</v>
      </c>
      <c r="H12" s="17" t="s">
        <v>58</v>
      </c>
      <c r="I12" s="17" t="s">
        <v>59</v>
      </c>
      <c r="J12" s="170" t="s">
        <v>267</v>
      </c>
    </row>
    <row r="13" spans="1:11" ht="30.75" customHeight="1" x14ac:dyDescent="0.25">
      <c r="B13" s="397" t="s">
        <v>238</v>
      </c>
      <c r="C13" s="397"/>
      <c r="D13" s="397"/>
      <c r="E13" s="397"/>
      <c r="F13" s="397"/>
      <c r="G13" s="18" t="str">
        <f>Datos!S38</f>
        <v>Cumplió</v>
      </c>
      <c r="H13" s="18" t="str">
        <f>Datos!T38</f>
        <v>N/A</v>
      </c>
      <c r="I13" s="18" t="str">
        <f>Datos!U38</f>
        <v>N/A</v>
      </c>
      <c r="J13" s="18" t="str">
        <f>IF(G13="Cumplió","SI","No Requiere")</f>
        <v>SI</v>
      </c>
    </row>
    <row r="14" spans="1:11" x14ac:dyDescent="0.25">
      <c r="B14" s="1"/>
      <c r="C14" s="1"/>
      <c r="D14" s="1"/>
      <c r="E14" s="1"/>
    </row>
    <row r="15" spans="1:11" ht="13.5" customHeight="1" x14ac:dyDescent="0.25">
      <c r="B15" s="373" t="s">
        <v>69</v>
      </c>
      <c r="C15" s="373"/>
      <c r="D15" s="373"/>
      <c r="E15" s="373"/>
      <c r="F15" s="373"/>
      <c r="G15" s="373"/>
      <c r="H15" s="373"/>
      <c r="I15" s="373"/>
      <c r="J15" s="373"/>
    </row>
    <row r="16" spans="1:11" ht="25.5" x14ac:dyDescent="0.25">
      <c r="B16" s="364" t="s">
        <v>72</v>
      </c>
      <c r="C16" s="364"/>
      <c r="D16" s="364"/>
      <c r="E16" s="364"/>
      <c r="F16" s="364"/>
      <c r="G16" s="41" t="s">
        <v>57</v>
      </c>
      <c r="H16" s="41" t="s">
        <v>58</v>
      </c>
      <c r="I16" s="41" t="s">
        <v>59</v>
      </c>
      <c r="J16" s="41" t="s">
        <v>267</v>
      </c>
    </row>
    <row r="17" spans="2:10" ht="56.25" customHeight="1" x14ac:dyDescent="0.25">
      <c r="B17" s="221" t="s">
        <v>297</v>
      </c>
      <c r="C17" s="221"/>
      <c r="D17" s="221"/>
      <c r="E17" s="221"/>
      <c r="F17" s="221"/>
      <c r="G17" s="18" t="str">
        <f>Datos!S43</f>
        <v>Cumplió</v>
      </c>
      <c r="H17" s="18" t="str">
        <f>Datos!T43</f>
        <v>N/A</v>
      </c>
      <c r="I17" s="18" t="str">
        <f>Datos!U43</f>
        <v>N/A</v>
      </c>
      <c r="J17" s="18" t="str">
        <f>IF(G17="Cumplió","SI","No Requiere")</f>
        <v>SI</v>
      </c>
    </row>
    <row r="18" spans="2:10" x14ac:dyDescent="0.25">
      <c r="B18" s="221" t="s">
        <v>268</v>
      </c>
      <c r="C18" s="221"/>
      <c r="D18" s="221"/>
      <c r="E18" s="221"/>
      <c r="F18" s="221"/>
      <c r="G18" s="18" t="str">
        <f>Datos!S44</f>
        <v>Cumplió</v>
      </c>
      <c r="H18" s="18" t="str">
        <f>Datos!T44</f>
        <v>N/A</v>
      </c>
      <c r="I18" s="18" t="str">
        <f>Datos!U44</f>
        <v>N/A</v>
      </c>
      <c r="J18" s="18" t="str">
        <f t="shared" ref="J18:J26" si="0">IF(G18="Cumplió","SI","No Requiere")</f>
        <v>SI</v>
      </c>
    </row>
    <row r="19" spans="2:10" x14ac:dyDescent="0.25">
      <c r="B19" s="221" t="s">
        <v>75</v>
      </c>
      <c r="C19" s="221"/>
      <c r="D19" s="221"/>
      <c r="E19" s="221"/>
      <c r="F19" s="221"/>
      <c r="G19" s="18" t="str">
        <f>Datos!S45</f>
        <v>Cumplió</v>
      </c>
      <c r="H19" s="18" t="str">
        <f>Datos!T45</f>
        <v>N/A</v>
      </c>
      <c r="I19" s="18" t="str">
        <f>Datos!U45</f>
        <v>N/A</v>
      </c>
      <c r="J19" s="18" t="str">
        <f t="shared" si="0"/>
        <v>SI</v>
      </c>
    </row>
    <row r="20" spans="2:10" ht="33" customHeight="1" x14ac:dyDescent="0.25">
      <c r="B20" s="221" t="s">
        <v>269</v>
      </c>
      <c r="C20" s="221"/>
      <c r="D20" s="221"/>
      <c r="E20" s="221"/>
      <c r="F20" s="221"/>
      <c r="G20" s="18" t="str">
        <f>Datos!S46</f>
        <v>Cumplió</v>
      </c>
      <c r="H20" s="18" t="str">
        <f>Datos!T46</f>
        <v>N/A</v>
      </c>
      <c r="I20" s="18" t="str">
        <f>Datos!U46</f>
        <v>N/A</v>
      </c>
      <c r="J20" s="18" t="str">
        <f t="shared" si="0"/>
        <v>SI</v>
      </c>
    </row>
    <row r="21" spans="2:10" ht="32.25" customHeight="1" x14ac:dyDescent="0.25">
      <c r="B21" s="221" t="s">
        <v>270</v>
      </c>
      <c r="C21" s="221"/>
      <c r="D21" s="221"/>
      <c r="E21" s="221"/>
      <c r="F21" s="221"/>
      <c r="G21" s="18" t="str">
        <f>Datos!S47</f>
        <v>Cumplió</v>
      </c>
      <c r="H21" s="18" t="str">
        <f>Datos!T47</f>
        <v>N/A</v>
      </c>
      <c r="I21" s="18" t="str">
        <f>Datos!U47</f>
        <v>N/A</v>
      </c>
      <c r="J21" s="18" t="str">
        <f t="shared" si="0"/>
        <v>SI</v>
      </c>
    </row>
    <row r="22" spans="2:10" ht="32.25" customHeight="1" x14ac:dyDescent="0.25">
      <c r="B22" s="221" t="s">
        <v>271</v>
      </c>
      <c r="C22" s="221"/>
      <c r="D22" s="221"/>
      <c r="E22" s="221"/>
      <c r="F22" s="221"/>
      <c r="G22" s="18" t="str">
        <f>Datos!S48</f>
        <v>Cumplió</v>
      </c>
      <c r="H22" s="18" t="str">
        <f>Datos!T48</f>
        <v>N/A</v>
      </c>
      <c r="I22" s="18" t="str">
        <f>Datos!U48</f>
        <v>N/A</v>
      </c>
      <c r="J22" s="18" t="str">
        <f t="shared" si="0"/>
        <v>SI</v>
      </c>
    </row>
    <row r="23" spans="2:10" x14ac:dyDescent="0.25">
      <c r="B23" s="374" t="s">
        <v>320</v>
      </c>
      <c r="C23" s="375"/>
      <c r="D23" s="375"/>
      <c r="E23" s="375"/>
      <c r="F23" s="376"/>
      <c r="G23" s="18" t="str">
        <f>Datos!S49</f>
        <v>Cumplió</v>
      </c>
      <c r="H23" s="18" t="str">
        <f>Datos!T49</f>
        <v>N/A</v>
      </c>
      <c r="I23" s="18" t="str">
        <f>Datos!U49</f>
        <v>N/A</v>
      </c>
      <c r="J23" s="18" t="str">
        <f t="shared" si="0"/>
        <v>SI</v>
      </c>
    </row>
    <row r="24" spans="2:10" x14ac:dyDescent="0.25">
      <c r="B24" s="221" t="s">
        <v>272</v>
      </c>
      <c r="C24" s="221"/>
      <c r="D24" s="221"/>
      <c r="E24" s="221"/>
      <c r="F24" s="221"/>
      <c r="G24" s="18" t="str">
        <f>Datos!S49</f>
        <v>Cumplió</v>
      </c>
      <c r="H24" s="18" t="str">
        <f>Datos!T49</f>
        <v>N/A</v>
      </c>
      <c r="I24" s="18" t="str">
        <f>Datos!U49</f>
        <v>N/A</v>
      </c>
      <c r="J24" s="18" t="str">
        <f t="shared" si="0"/>
        <v>SI</v>
      </c>
    </row>
    <row r="25" spans="2:10" ht="50.25" customHeight="1" x14ac:dyDescent="0.25">
      <c r="B25" s="221" t="s">
        <v>273</v>
      </c>
      <c r="C25" s="221"/>
      <c r="D25" s="221"/>
      <c r="E25" s="221"/>
      <c r="F25" s="221"/>
      <c r="G25" s="18" t="str">
        <f>Datos!S50</f>
        <v>Cumplió</v>
      </c>
      <c r="H25" s="18" t="str">
        <f>Datos!T50</f>
        <v>N/A</v>
      </c>
      <c r="I25" s="18" t="str">
        <f>Datos!U50</f>
        <v>N/A</v>
      </c>
      <c r="J25" s="18" t="str">
        <f t="shared" si="0"/>
        <v>SI</v>
      </c>
    </row>
    <row r="26" spans="2:10" x14ac:dyDescent="0.25">
      <c r="B26" s="221" t="s">
        <v>274</v>
      </c>
      <c r="C26" s="221"/>
      <c r="D26" s="221"/>
      <c r="E26" s="221"/>
      <c r="F26" s="221"/>
      <c r="G26" s="18" t="str">
        <f>Datos!S51</f>
        <v>No Requiere</v>
      </c>
      <c r="H26" s="18" t="str">
        <f>Datos!T51</f>
        <v>N/A</v>
      </c>
      <c r="I26" s="18" t="str">
        <f>Datos!U51</f>
        <v>N/A</v>
      </c>
      <c r="J26" s="18" t="str">
        <f t="shared" si="0"/>
        <v>No Requiere</v>
      </c>
    </row>
    <row r="27" spans="2:10" ht="13.5" customHeight="1" x14ac:dyDescent="0.25">
      <c r="B27" s="1"/>
      <c r="C27" s="1"/>
      <c r="D27" s="1"/>
      <c r="E27" s="1"/>
    </row>
    <row r="28" spans="2:10" ht="15" customHeight="1" x14ac:dyDescent="0.25">
      <c r="B28" s="1"/>
      <c r="C28" s="1"/>
      <c r="D28" s="1"/>
      <c r="E28" s="1"/>
    </row>
    <row r="29" spans="2:10" ht="15" customHeight="1" x14ac:dyDescent="0.25">
      <c r="B29" s="373" t="s">
        <v>278</v>
      </c>
      <c r="C29" s="373"/>
      <c r="D29" s="373"/>
      <c r="E29" s="373"/>
      <c r="F29" s="373"/>
      <c r="G29" s="373"/>
      <c r="H29" s="373"/>
      <c r="I29" s="373"/>
      <c r="J29" s="373"/>
    </row>
    <row r="30" spans="2:10" ht="25.5" x14ac:dyDescent="0.25">
      <c r="B30" s="364" t="s">
        <v>72</v>
      </c>
      <c r="C30" s="364"/>
      <c r="D30" s="364"/>
      <c r="E30" s="364"/>
      <c r="F30" s="364"/>
      <c r="G30" s="170" t="s">
        <v>57</v>
      </c>
      <c r="H30" s="170" t="s">
        <v>58</v>
      </c>
      <c r="I30" s="170" t="s">
        <v>59</v>
      </c>
      <c r="J30" s="170" t="s">
        <v>267</v>
      </c>
    </row>
    <row r="31" spans="2:10" ht="37.5" customHeight="1" x14ac:dyDescent="0.25">
      <c r="B31" s="221" t="s">
        <v>281</v>
      </c>
      <c r="C31" s="221"/>
      <c r="D31" s="221"/>
      <c r="E31" s="221"/>
      <c r="F31" s="221"/>
      <c r="G31" s="18" t="str">
        <f>IF(Datos!$C$45="SI",IF(Datos!$Y$17="SI",("Cumplió"),("N/A")),"N/A")</f>
        <v>N/A</v>
      </c>
      <c r="H31" s="18" t="str">
        <f>IF(Datos!$C$45="SI",IF(Datos!$Y$18="SI",("√"),("N/A")),"N/A")</f>
        <v>N/A</v>
      </c>
      <c r="I31" s="18" t="str">
        <f>IF(Datos!$C$45="SI",IF(Datos!$Y$19="SI",("√"),("N/A")),"N/A")</f>
        <v>N/A</v>
      </c>
      <c r="J31" s="18" t="str">
        <f>IF(G31="Cumplió","SI","No Requiere")</f>
        <v>No Requiere</v>
      </c>
    </row>
    <row r="32" spans="2:10" x14ac:dyDescent="0.25">
      <c r="B32" s="221" t="s">
        <v>282</v>
      </c>
      <c r="C32" s="221"/>
      <c r="D32" s="221"/>
      <c r="E32" s="221"/>
      <c r="F32" s="221"/>
      <c r="G32" s="18" t="str">
        <f>IF(Datos!$C$45="SI",IF(Datos!$Y$17="SI",("Cumplió"),("N/A")),"N/A")</f>
        <v>N/A</v>
      </c>
      <c r="H32" s="18" t="str">
        <f>IF(Datos!$C$45="SI",IF(Datos!$Y$18="SI",("√"),("N/A")),"N/A")</f>
        <v>N/A</v>
      </c>
      <c r="I32" s="18" t="str">
        <f>IF(Datos!$C$45="SI",IF(Datos!$Y$19="SI",("√"),("N/A")),"N/A")</f>
        <v>N/A</v>
      </c>
      <c r="J32" s="18" t="str">
        <f t="shared" ref="J32:J37" si="1">IF(G32="Cumplió","SI","No Requiere")</f>
        <v>No Requiere</v>
      </c>
    </row>
    <row r="33" spans="2:10" x14ac:dyDescent="0.25">
      <c r="B33" s="221" t="s">
        <v>283</v>
      </c>
      <c r="C33" s="221"/>
      <c r="D33" s="221"/>
      <c r="E33" s="221"/>
      <c r="F33" s="221"/>
      <c r="G33" s="18" t="str">
        <f>IF(Datos!$C$45="SI",IF(Datos!$Y$17="SI",("Cumplió"),("N/A")),"N/A")</f>
        <v>N/A</v>
      </c>
      <c r="H33" s="18" t="str">
        <f>IF(Datos!$C$45="SI",IF(Datos!$Y$18="SI",("√"),("N/A")),"N/A")</f>
        <v>N/A</v>
      </c>
      <c r="I33" s="18" t="str">
        <f>IF(Datos!$C$45="SI",IF(Datos!$Y$19="SI",("√"),("N/A")),"N/A")</f>
        <v>N/A</v>
      </c>
      <c r="J33" s="18" t="str">
        <f t="shared" si="1"/>
        <v>No Requiere</v>
      </c>
    </row>
    <row r="34" spans="2:10" ht="45" customHeight="1" x14ac:dyDescent="0.25">
      <c r="B34" s="221" t="s">
        <v>284</v>
      </c>
      <c r="C34" s="221"/>
      <c r="D34" s="221"/>
      <c r="E34" s="221"/>
      <c r="F34" s="221"/>
      <c r="G34" s="18" t="str">
        <f>IF(Datos!$C$45="SI",IF(Datos!$Y$17="SI",("Cumplió"),("N/A")),"N/A")</f>
        <v>N/A</v>
      </c>
      <c r="H34" s="18" t="str">
        <f>IF(Datos!$C$45="SI",IF(Datos!$Y$18="SI",("√"),("N/A")),"N/A")</f>
        <v>N/A</v>
      </c>
      <c r="I34" s="18" t="str">
        <f>IF(Datos!$C$45="SI",IF(Datos!$Y$19="SI",("√"),("N/A")),"N/A")</f>
        <v>N/A</v>
      </c>
      <c r="J34" s="18" t="str">
        <f t="shared" si="1"/>
        <v>No Requiere</v>
      </c>
    </row>
    <row r="35" spans="2:10" ht="30" customHeight="1" x14ac:dyDescent="0.25">
      <c r="B35" s="221" t="s">
        <v>285</v>
      </c>
      <c r="C35" s="221"/>
      <c r="D35" s="221"/>
      <c r="E35" s="221"/>
      <c r="F35" s="221"/>
      <c r="G35" s="18" t="str">
        <f>IF(Datos!$C$45="SI",IF(Datos!$Y$17="SI",("Cumplió"),("N/A")),"N/A")</f>
        <v>N/A</v>
      </c>
      <c r="H35" s="18" t="str">
        <f>IF(Datos!$C$45="SI",IF(Datos!$Y$18="SI",("√"),("N/A")),"N/A")</f>
        <v>N/A</v>
      </c>
      <c r="I35" s="18" t="str">
        <f>IF(Datos!$C$45="SI",IF(Datos!$Y$19="SI",("√"),("N/A")),"N/A")</f>
        <v>N/A</v>
      </c>
      <c r="J35" s="18" t="str">
        <f t="shared" si="1"/>
        <v>No Requiere</v>
      </c>
    </row>
    <row r="36" spans="2:10" ht="30" customHeight="1" x14ac:dyDescent="0.25">
      <c r="B36" s="221" t="s">
        <v>286</v>
      </c>
      <c r="C36" s="221"/>
      <c r="D36" s="221"/>
      <c r="E36" s="221"/>
      <c r="F36" s="221"/>
      <c r="G36" s="18" t="str">
        <f>IF(Datos!$C$45="SI",IF(Datos!$Y$17="SI",("Cumplió"),("N/A")),"N/A")</f>
        <v>N/A</v>
      </c>
      <c r="H36" s="18" t="str">
        <f>IF(Datos!$C$45="SI",IF(Datos!$Y$18="SI",("√"),("N/A")),"N/A")</f>
        <v>N/A</v>
      </c>
      <c r="I36" s="18" t="str">
        <f>IF(Datos!$C$45="SI",IF(Datos!$Y$19="SI",("√"),("N/A")),"N/A")</f>
        <v>N/A</v>
      </c>
      <c r="J36" s="18" t="str">
        <f t="shared" si="1"/>
        <v>No Requiere</v>
      </c>
    </row>
    <row r="37" spans="2:10" ht="31.5" customHeight="1" x14ac:dyDescent="0.25">
      <c r="B37" s="221" t="s">
        <v>287</v>
      </c>
      <c r="C37" s="221"/>
      <c r="D37" s="221"/>
      <c r="E37" s="221"/>
      <c r="F37" s="221"/>
      <c r="G37" s="18" t="str">
        <f>IF(Datos!$C$45="SI",IF(Datos!$Y$17="SI",("Cumplió"),("N/A")),"N/A")</f>
        <v>N/A</v>
      </c>
      <c r="H37" s="18" t="str">
        <f>IF(Datos!$C$45="SI",IF(Datos!$Y$18="SI",("√"),("N/A")),"N/A")</f>
        <v>N/A</v>
      </c>
      <c r="I37" s="18" t="str">
        <f>IF(Datos!$C$45="SI",IF(Datos!$Y$19="SI",("√"),("N/A")),"N/A")</f>
        <v>N/A</v>
      </c>
      <c r="J37" s="18" t="str">
        <f t="shared" si="1"/>
        <v>No Requiere</v>
      </c>
    </row>
    <row r="38" spans="2:10" x14ac:dyDescent="0.25">
      <c r="B38" s="1"/>
      <c r="C38" s="1"/>
      <c r="D38" s="1"/>
      <c r="E38" s="1"/>
    </row>
    <row r="39" spans="2:10" ht="19.5" customHeight="1" x14ac:dyDescent="0.25">
      <c r="B39" s="366" t="s">
        <v>87</v>
      </c>
      <c r="C39" s="367"/>
      <c r="D39" s="367"/>
      <c r="E39" s="367"/>
      <c r="F39" s="367"/>
      <c r="G39" s="367"/>
      <c r="H39" s="367"/>
      <c r="I39" s="367"/>
      <c r="J39" s="368"/>
    </row>
    <row r="40" spans="2:10" ht="30" customHeight="1" x14ac:dyDescent="0.25">
      <c r="B40" s="369" t="s">
        <v>88</v>
      </c>
      <c r="C40" s="369"/>
      <c r="D40" s="369"/>
      <c r="E40" s="369"/>
      <c r="F40" s="19" t="s">
        <v>117</v>
      </c>
      <c r="G40" s="3" t="s">
        <v>57</v>
      </c>
      <c r="H40" s="3" t="s">
        <v>58</v>
      </c>
      <c r="I40" s="3" t="s">
        <v>59</v>
      </c>
      <c r="J40" s="41" t="s">
        <v>276</v>
      </c>
    </row>
    <row r="41" spans="2:10" ht="15.75" customHeight="1" x14ac:dyDescent="0.25">
      <c r="B41" s="370" t="s">
        <v>275</v>
      </c>
      <c r="C41" s="371"/>
      <c r="D41" s="371"/>
      <c r="E41" s="372"/>
      <c r="F41" s="20" t="str">
        <f>+Datos!R57</f>
        <v>70%</v>
      </c>
      <c r="G41" s="159">
        <f>Datos!S57</f>
        <v>70</v>
      </c>
      <c r="H41" s="159" t="str">
        <f>Datos!T57</f>
        <v>N/A</v>
      </c>
      <c r="I41" s="159" t="str">
        <f>Datos!U57</f>
        <v>N/A</v>
      </c>
      <c r="J41" s="159"/>
    </row>
    <row r="42" spans="2:10" ht="15.75" thickBot="1" x14ac:dyDescent="0.3">
      <c r="B42" s="391" t="s">
        <v>118</v>
      </c>
      <c r="C42" s="392"/>
      <c r="D42" s="392"/>
      <c r="E42" s="393"/>
      <c r="F42" s="21" t="str">
        <f>+Datos!R58</f>
        <v>30%</v>
      </c>
      <c r="G42" s="159">
        <f>Datos!S58</f>
        <v>30</v>
      </c>
      <c r="H42" s="159" t="str">
        <f>Datos!T58</f>
        <v>N/A</v>
      </c>
      <c r="I42" s="159" t="str">
        <f>Datos!U58</f>
        <v>N/A</v>
      </c>
      <c r="J42" s="159"/>
    </row>
    <row r="43" spans="2:10" ht="27.75" customHeight="1" thickTop="1" x14ac:dyDescent="0.25">
      <c r="B43" s="394" t="s">
        <v>91</v>
      </c>
      <c r="C43" s="395"/>
      <c r="D43" s="395"/>
      <c r="E43" s="395"/>
      <c r="F43" s="22">
        <f>Datos!R59</f>
        <v>1</v>
      </c>
      <c r="G43" s="160" t="str">
        <f>Datos!S59</f>
        <v>100%</v>
      </c>
      <c r="H43" s="160" t="str">
        <f>Datos!T59</f>
        <v>N/A</v>
      </c>
      <c r="I43" s="160" t="str">
        <f>Datos!U59</f>
        <v>N/A</v>
      </c>
      <c r="J43" s="160"/>
    </row>
    <row r="44" spans="2:10" ht="36" customHeight="1" x14ac:dyDescent="0.25">
      <c r="B44" s="365" t="str">
        <f>Datos!N60</f>
        <v>El oferente con mejor calificación es: EDITORIAL LIBROS Y LIBROS S.A L Y L S.A, con NIT 860.531.396-1, por un valor de $ 17240000, por concepto de Compra de textos escolares de 6° a 11°</v>
      </c>
      <c r="C44" s="365"/>
      <c r="D44" s="365"/>
      <c r="E44" s="365"/>
      <c r="F44" s="365"/>
      <c r="G44" s="365"/>
      <c r="H44" s="365"/>
      <c r="I44" s="365"/>
      <c r="J44" s="365"/>
    </row>
    <row r="45" spans="2:10" ht="66.75" customHeight="1" x14ac:dyDescent="0.25">
      <c r="B45" s="317" t="str">
        <f>"Conforme al Decreto 1075 de 2015 y la Ley 80 de 1993 con sus decretos reglamentarios, en el presente proceso contractual existe propuesta HÁBIL para la adjudicación bajo la modalidad de selección de mínima cuantía y que la propuesta realizada por "&amp;Datos!C6&amp;" cumple con los requisitos establecidos en el pliego, según el estudio técnico y financiero de la propuesta."</f>
        <v>Conforme al Decreto 1075 de 2015 y la Ley 80 de 1993 con sus decretos reglamentarios, en el presente proceso contractual existe propuesta HÁBIL para la adjudicación bajo la modalidad de selección de mínima cuantía y que la propuesta realizada por EDITORIAL LIBROS Y LIBROS S.A L Y L S.A cumple con los requisitos establecidos en el pliego, según el estudio técnico y financiero de la propuesta.</v>
      </c>
      <c r="C45" s="317"/>
      <c r="D45" s="317"/>
      <c r="E45" s="317"/>
      <c r="F45" s="317"/>
      <c r="G45" s="317"/>
      <c r="H45" s="317"/>
      <c r="I45" s="317"/>
      <c r="J45" s="317"/>
    </row>
    <row r="46" spans="2:10" x14ac:dyDescent="0.25">
      <c r="B46" s="34"/>
      <c r="C46" s="34"/>
      <c r="D46" s="34"/>
      <c r="E46" s="34"/>
      <c r="F46" s="34"/>
      <c r="G46" s="34"/>
      <c r="H46" s="34"/>
      <c r="I46" s="34"/>
      <c r="J46" s="34"/>
    </row>
    <row r="47" spans="2:10" x14ac:dyDescent="0.25">
      <c r="B47" t="s">
        <v>119</v>
      </c>
    </row>
    <row r="49" spans="2:10" ht="30" customHeight="1" x14ac:dyDescent="0.25">
      <c r="C49" s="56"/>
      <c r="D49" s="325" t="str">
        <f>+ActaCierre!C20</f>
        <v>CARLOS MARIO GIRALDO JIMENEZ
Rector</v>
      </c>
      <c r="E49" s="325"/>
      <c r="F49" s="325"/>
      <c r="G49" s="325"/>
      <c r="H49" s="325"/>
      <c r="I49" s="56"/>
      <c r="J49" s="56"/>
    </row>
    <row r="50" spans="2:10" ht="15.75" x14ac:dyDescent="0.25">
      <c r="B50" s="6"/>
    </row>
  </sheetData>
  <mergeCells count="44">
    <mergeCell ref="D49:H49"/>
    <mergeCell ref="D8:H8"/>
    <mergeCell ref="D9:H9"/>
    <mergeCell ref="B10:J10"/>
    <mergeCell ref="B11:J11"/>
    <mergeCell ref="B21:F21"/>
    <mergeCell ref="B42:E42"/>
    <mergeCell ref="B43:E43"/>
    <mergeCell ref="B12:F12"/>
    <mergeCell ref="B13:F13"/>
    <mergeCell ref="B15:J15"/>
    <mergeCell ref="B16:F16"/>
    <mergeCell ref="B17:F17"/>
    <mergeCell ref="B18:F18"/>
    <mergeCell ref="B19:F19"/>
    <mergeCell ref="B24:F24"/>
    <mergeCell ref="A1:K1"/>
    <mergeCell ref="I8:J8"/>
    <mergeCell ref="I9:J9"/>
    <mergeCell ref="B3:C3"/>
    <mergeCell ref="D3:E3"/>
    <mergeCell ref="B4:J4"/>
    <mergeCell ref="F3:J3"/>
    <mergeCell ref="B5:J5"/>
    <mergeCell ref="B7:J7"/>
    <mergeCell ref="B29:J29"/>
    <mergeCell ref="B20:F20"/>
    <mergeCell ref="B22:F22"/>
    <mergeCell ref="B25:F25"/>
    <mergeCell ref="B26:F26"/>
    <mergeCell ref="B23:F23"/>
    <mergeCell ref="B44:J44"/>
    <mergeCell ref="B45:J45"/>
    <mergeCell ref="B39:J39"/>
    <mergeCell ref="B40:E40"/>
    <mergeCell ref="B41:E41"/>
    <mergeCell ref="B35:F35"/>
    <mergeCell ref="B36:F36"/>
    <mergeCell ref="B37:F37"/>
    <mergeCell ref="B30:F30"/>
    <mergeCell ref="B31:F31"/>
    <mergeCell ref="B32:F32"/>
    <mergeCell ref="B33:F33"/>
    <mergeCell ref="B34:F34"/>
  </mergeCells>
  <printOptions horizontalCentered="1"/>
  <pageMargins left="0.59055118110236227" right="0.51181102362204722" top="1.875" bottom="1.125" header="0.31496062992125984" footer="0.19685039370078741"/>
  <pageSetup fitToWidth="2" fitToHeight="2" orientation="portrait" r:id="rId1"/>
  <headerFooter>
    <oddHeader>&amp;C&amp;G</oddHeader>
    <oddFooter xml:space="preserve">&amp;C&amp;G
Página &amp;P de &amp;N&amp;RInforme Evaluación Oferentes </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Layout" topLeftCell="A22" zoomScaleNormal="85" workbookViewId="0">
      <selection activeCell="E26" sqref="D26:F28"/>
    </sheetView>
  </sheetViews>
  <sheetFormatPr baseColWidth="10" defaultRowHeight="15" x14ac:dyDescent="0.25"/>
  <cols>
    <col min="8" max="8" width="18.42578125" customWidth="1"/>
  </cols>
  <sheetData>
    <row r="1" spans="1:10" ht="15" customHeight="1" x14ac:dyDescent="0.25">
      <c r="A1" s="377" t="str">
        <f>+""&amp;Datos!B27&amp;" "&amp;Datos!C27&amp;""</f>
        <v>RESOLUCIÓN DE  ADJUDICACIÓN No. RAC.   005-03-2020</v>
      </c>
      <c r="B1" s="377"/>
      <c r="C1" s="377"/>
      <c r="D1" s="377"/>
      <c r="E1" s="377"/>
      <c r="F1" s="377"/>
      <c r="G1" s="377"/>
      <c r="H1" s="377"/>
      <c r="I1" s="27"/>
      <c r="J1" s="27"/>
    </row>
    <row r="2" spans="1:10" x14ac:dyDescent="0.25">
      <c r="A2" s="332" t="str">
        <f>+"("&amp;Datos!J63&amp;")"</f>
        <v>(11 de mayo de 2020)</v>
      </c>
      <c r="B2" s="332"/>
      <c r="C2" s="332"/>
      <c r="D2" s="332"/>
      <c r="E2" s="332"/>
      <c r="F2" s="332"/>
      <c r="G2" s="332"/>
      <c r="H2" s="332"/>
    </row>
    <row r="3" spans="1:10" x14ac:dyDescent="0.25">
      <c r="A3" s="37"/>
      <c r="B3" s="37"/>
      <c r="C3" s="37"/>
      <c r="D3" s="37"/>
      <c r="E3" s="37"/>
      <c r="F3" s="37"/>
      <c r="G3" s="37"/>
      <c r="H3" s="37"/>
    </row>
    <row r="4" spans="1:10" ht="22.5" customHeight="1" x14ac:dyDescent="0.25">
      <c r="A4" s="330" t="str">
        <f>+"Por medio de la cual se ADJUDICA: "&amp;Datos!C8&amp;"."</f>
        <v>Por medio de la cual se ADJUDICA: Compra de textos escolares de 6° a 11°.</v>
      </c>
      <c r="B4" s="330"/>
      <c r="C4" s="330"/>
      <c r="D4" s="330"/>
      <c r="E4" s="330"/>
      <c r="F4" s="330"/>
      <c r="G4" s="330"/>
      <c r="H4" s="330"/>
    </row>
    <row r="5" spans="1:10" x14ac:dyDescent="0.25">
      <c r="A5" s="155"/>
      <c r="B5" s="155"/>
      <c r="C5" s="155"/>
      <c r="D5" s="155"/>
      <c r="E5" s="155"/>
      <c r="F5" s="155"/>
      <c r="G5" s="155"/>
      <c r="H5" s="155"/>
    </row>
    <row r="6" spans="1:10" ht="79.5" customHeight="1" x14ac:dyDescent="0.25">
      <c r="A6" s="310" t="str">
        <f>+"La Rectoría de la "&amp;Datos!B49&amp;" del Municipio de "&amp;Datos!B50&amp;" en uso de sus facultades legales, en particular las conferidas por la Ley 115 de 1994, Artículo 10 de la Ley 715 de 2002; el Decreto 1075 de 2015; el Decreto 4807 de 2011, y conforme a lo establecido en la Ley 1150 de 2007, el Decreto 1082 de 2015 y el "&amp;Datos!B54&amp;" del Consejo Directivo (Reglamento de Contratación Institucional para la contratación de bienes y servicios hasta la cuantía de 20 SMLMV),"</f>
        <v>La Rectoría de la INSTITUCIÓN EDUCATIVA JOAQUIN VALLEJO ARBELAEZ del Municipio de MEDELLÍN en uso de sus facultades legales, en particular las conferidas por la Ley 115 de 1994, Artículo 10 de la Ley 715 de 2002; el Decreto 1075 de 2015; el Decreto 4807 de 2011, y conforme a lo establecido en la Ley 1150 de 2007, el Decreto 1082 de 2015 y el Acuerdo N° 05 del 22 de Abril de 2020 del Consejo Directivo (Reglamento de Contratación Institucional para la contratación de bienes y servicios hasta la cuantía de 20 SMLMV),</v>
      </c>
      <c r="B6" s="310"/>
      <c r="C6" s="310"/>
      <c r="D6" s="310"/>
      <c r="E6" s="310"/>
      <c r="F6" s="310"/>
      <c r="G6" s="310"/>
      <c r="H6" s="310"/>
    </row>
    <row r="7" spans="1:10" x14ac:dyDescent="0.25">
      <c r="A7" s="49"/>
      <c r="B7" s="49"/>
      <c r="C7" s="49"/>
      <c r="D7" s="49"/>
      <c r="E7" s="49"/>
      <c r="F7" s="49"/>
      <c r="G7" s="49"/>
      <c r="H7" s="49"/>
    </row>
    <row r="8" spans="1:10" x14ac:dyDescent="0.25">
      <c r="A8" s="330" t="s">
        <v>101</v>
      </c>
      <c r="B8" s="330"/>
      <c r="C8" s="330"/>
      <c r="D8" s="330"/>
      <c r="E8" s="330"/>
      <c r="F8" s="330"/>
      <c r="G8" s="330"/>
      <c r="H8" s="330"/>
    </row>
    <row r="9" spans="1:10" ht="15" customHeight="1" x14ac:dyDescent="0.25">
      <c r="A9" s="39"/>
      <c r="B9" s="39"/>
      <c r="C9" s="39"/>
      <c r="D9" s="39"/>
      <c r="E9" s="39"/>
      <c r="F9" s="39"/>
      <c r="G9" s="39"/>
      <c r="H9" s="39"/>
    </row>
    <row r="10" spans="1:10" ht="65.25" customHeight="1" x14ac:dyDescent="0.25">
      <c r="A10" s="310" t="s">
        <v>213</v>
      </c>
      <c r="B10" s="318"/>
      <c r="C10" s="318"/>
      <c r="D10" s="318"/>
      <c r="E10" s="318"/>
      <c r="F10" s="318"/>
      <c r="G10" s="318"/>
      <c r="H10" s="318"/>
    </row>
    <row r="11" spans="1:10" x14ac:dyDescent="0.25">
      <c r="A11" s="49"/>
      <c r="B11" s="57"/>
      <c r="C11" s="57"/>
      <c r="D11" s="57"/>
      <c r="E11" s="57"/>
      <c r="F11" s="57"/>
      <c r="G11" s="57"/>
      <c r="H11" s="57"/>
    </row>
    <row r="12" spans="1:10" ht="51.75" customHeight="1" x14ac:dyDescent="0.25">
      <c r="A12" s="310" t="str">
        <f>+"2. Que el "&amp;Datos!B54&amp;" expedido por el Consejo Directivo de la "&amp;Datos!B49&amp;" en concordancia con el Decreto 1075 de 2015 establece el procedimiento para la adquisición de bienes y la celebración de contratos."</f>
        <v>2. Que el Acuerdo N° 05 del 22 de Abril de 2020 expedido por el Consejo Directivo de la INSTITUCIÓN EDUCATIVA JOAQUIN VALLEJO ARBELAEZ en concordancia con el Decreto 1075 de 2015 establece el procedimiento para la adquisición de bienes y la celebración de contratos.</v>
      </c>
      <c r="B12" s="310"/>
      <c r="C12" s="310"/>
      <c r="D12" s="310"/>
      <c r="E12" s="310"/>
      <c r="F12" s="310"/>
      <c r="G12" s="310"/>
      <c r="H12" s="310"/>
    </row>
    <row r="13" spans="1:10" x14ac:dyDescent="0.25">
      <c r="A13" s="49"/>
      <c r="B13" s="49"/>
      <c r="C13" s="49"/>
      <c r="D13" s="49"/>
      <c r="E13" s="49"/>
      <c r="F13" s="49"/>
      <c r="G13" s="49"/>
      <c r="H13" s="49"/>
    </row>
    <row r="14" spans="1:10" ht="40.5" customHeight="1" x14ac:dyDescent="0.25">
      <c r="A14" s="317" t="s">
        <v>182</v>
      </c>
      <c r="B14" s="317"/>
      <c r="C14" s="317"/>
      <c r="D14" s="317"/>
      <c r="E14" s="317"/>
      <c r="F14" s="317"/>
      <c r="G14" s="317"/>
      <c r="H14" s="317"/>
    </row>
    <row r="15" spans="1:10" x14ac:dyDescent="0.25">
      <c r="A15" s="40"/>
      <c r="B15" s="40"/>
      <c r="C15" s="40"/>
      <c r="D15" s="40"/>
      <c r="E15" s="40"/>
      <c r="F15" s="40"/>
      <c r="G15" s="40"/>
      <c r="H15" s="40"/>
    </row>
    <row r="16" spans="1:10" ht="48" customHeight="1" x14ac:dyDescent="0.25">
      <c r="A16" s="318" t="str">
        <f>+"4. Que conforme a lo previsto en el  Decreto 1082 de 2015, el Decreto 1075 de 2015 y  el "&amp;Datos!B54&amp;", expedido por el Consejo Directivo de la Institución, el proponente "&amp;Datos!C6&amp;" cumple con los requisitos establecidos en la invitación."</f>
        <v>4. Que conforme a lo previsto en el  Decreto 1082 de 2015, el Decreto 1075 de 2015 y  el Acuerdo N° 05 del 22 de Abril de 2020, expedido por el Consejo Directivo de la Institución, el proponente EDITORIAL LIBROS Y LIBROS S.A L Y L S.A cumple con los requisitos establecidos en la invitación.</v>
      </c>
      <c r="B16" s="318"/>
      <c r="C16" s="318"/>
      <c r="D16" s="318"/>
      <c r="E16" s="318"/>
      <c r="F16" s="318"/>
      <c r="G16" s="318"/>
      <c r="H16" s="318"/>
    </row>
    <row r="17" spans="1:8" x14ac:dyDescent="0.25">
      <c r="A17" s="57"/>
      <c r="B17" s="57"/>
      <c r="C17" s="57"/>
      <c r="D17" s="57"/>
      <c r="E17" s="57"/>
      <c r="F17" s="57"/>
      <c r="G17" s="57"/>
      <c r="H17" s="57"/>
    </row>
    <row r="18" spans="1:8" x14ac:dyDescent="0.25">
      <c r="A18" s="330" t="s">
        <v>102</v>
      </c>
      <c r="B18" s="330"/>
      <c r="C18" s="330"/>
      <c r="D18" s="330"/>
      <c r="E18" s="330"/>
      <c r="F18" s="330"/>
      <c r="G18" s="330"/>
      <c r="H18" s="330"/>
    </row>
    <row r="19" spans="1:8" ht="79.5" customHeight="1" x14ac:dyDescent="0.25">
      <c r="A19" s="318" t="str">
        <f>+"ARTÍCULO PRIMERO: Adjudicar a "&amp;Datos!C6&amp;", identificado con NIT. "&amp;Datos!C7&amp;"; Por valor de $"&amp;Datos!I18&amp;"
ARTÍCULO SEGUNDO: Las obligaciones derivadas de la presente contratación, se cancelarán con cargo a los recursos de los Fondos de Servicios Educativos, respaldados con la Disponibilidad Presupuestal "&amp;Datos!C25&amp;" del "&amp;Datos!C26&amp;"."</f>
        <v>ARTÍCULO PRIMERO: Adjudicar a EDITORIAL LIBROS Y LIBROS S.A L Y L S.A, identificado con NIT. 860.531.396-1; Por valor de $17240000
ARTÍCULO SEGUNDO: Las obligaciones derivadas de la presente contratación, se cancelarán con cargo a los recursos de los Fondos de Servicios Educativos, respaldados con la Disponibilidad Presupuestal 10 del 30 de abril de 2020.</v>
      </c>
      <c r="B19" s="318"/>
      <c r="C19" s="318"/>
      <c r="D19" s="318"/>
      <c r="E19" s="318"/>
      <c r="F19" s="318"/>
      <c r="G19" s="318"/>
      <c r="H19" s="318"/>
    </row>
    <row r="20" spans="1:8" ht="15" customHeight="1" x14ac:dyDescent="0.25">
      <c r="A20" s="23"/>
      <c r="B20" s="23"/>
      <c r="C20" s="23"/>
      <c r="D20" s="23"/>
      <c r="E20" s="23"/>
      <c r="F20" s="23"/>
      <c r="G20" s="23"/>
      <c r="H20" s="23"/>
    </row>
    <row r="21" spans="1:8" ht="15" customHeight="1" x14ac:dyDescent="0.25">
      <c r="A21" s="398" t="s">
        <v>144</v>
      </c>
      <c r="B21" s="398"/>
      <c r="C21" s="398"/>
      <c r="D21" s="398"/>
      <c r="E21" s="398"/>
      <c r="F21" s="398"/>
      <c r="G21" s="398"/>
      <c r="H21" s="398"/>
    </row>
    <row r="23" spans="1:8" x14ac:dyDescent="0.25">
      <c r="A23" s="331" t="str">
        <f>+"Dada en "&amp;Datos!B50&amp;", el "&amp;Datos!J63&amp;""</f>
        <v>Dada en MEDELLÍN, el 11 de mayo de 2020</v>
      </c>
      <c r="B23" s="331"/>
      <c r="C23" s="331"/>
      <c r="D23" s="331"/>
      <c r="E23" s="331"/>
      <c r="F23" s="331"/>
      <c r="G23" s="331"/>
      <c r="H23" s="331"/>
    </row>
    <row r="28" spans="1:8" ht="35.25" customHeight="1" x14ac:dyDescent="0.25">
      <c r="B28" s="25"/>
      <c r="C28" s="25"/>
      <c r="D28" s="325" t="str">
        <f>+'Est Prev'!D55:D55</f>
        <v>CARLOS MARIO GIRALDO JIMENEZ
Rector</v>
      </c>
      <c r="E28" s="325"/>
      <c r="F28" s="325"/>
      <c r="G28" s="25"/>
      <c r="H28" s="25"/>
    </row>
  </sheetData>
  <mergeCells count="14">
    <mergeCell ref="D28:F28"/>
    <mergeCell ref="A1:H1"/>
    <mergeCell ref="A18:H18"/>
    <mergeCell ref="A23:H23"/>
    <mergeCell ref="A10:H10"/>
    <mergeCell ref="A16:H16"/>
    <mergeCell ref="A19:H19"/>
    <mergeCell ref="A21:H21"/>
    <mergeCell ref="A8:H8"/>
    <mergeCell ref="A12:H12"/>
    <mergeCell ref="A14:H14"/>
    <mergeCell ref="A2:H2"/>
    <mergeCell ref="A4:H4"/>
    <mergeCell ref="A6:H6"/>
  </mergeCells>
  <pageMargins left="0.83437499999999998" right="0.47244094488188981" top="1.6125" bottom="0.94062500000000004" header="0.31496062992125984" footer="0.20343749999999999"/>
  <pageSetup scale="87" orientation="portrait" r:id="rId1"/>
  <headerFooter>
    <oddHeader>&amp;C&amp;G</oddHeader>
    <oddFooter>&amp;C&amp;G
Página &amp;P de &amp;N&amp;RResolución de Adjudicación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Layout" topLeftCell="A61" zoomScaleNormal="85" workbookViewId="0">
      <selection activeCell="B63" sqref="A63:C67"/>
    </sheetView>
  </sheetViews>
  <sheetFormatPr baseColWidth="10" defaultRowHeight="15" x14ac:dyDescent="0.25"/>
  <cols>
    <col min="4" max="4" width="16.140625" customWidth="1"/>
    <col min="5" max="5" width="8.28515625" customWidth="1"/>
    <col min="8" max="8" width="15.42578125" customWidth="1"/>
  </cols>
  <sheetData>
    <row r="1" spans="1:8" ht="45" customHeight="1" x14ac:dyDescent="0.25">
      <c r="A1" s="412" t="str">
        <f>+Datos!C8</f>
        <v>Compra de textos escolares de 6° a 11°</v>
      </c>
      <c r="B1" s="412"/>
      <c r="C1" s="412"/>
      <c r="D1" s="412"/>
      <c r="E1" s="412"/>
      <c r="F1" s="412"/>
      <c r="G1" s="412"/>
      <c r="H1" s="412"/>
    </row>
    <row r="2" spans="1:8" x14ac:dyDescent="0.25">
      <c r="A2" s="413"/>
      <c r="B2" s="413"/>
      <c r="C2" s="413"/>
      <c r="D2" s="413"/>
      <c r="E2" s="413"/>
      <c r="F2" s="413"/>
      <c r="G2" s="413"/>
      <c r="H2" s="413"/>
    </row>
    <row r="3" spans="1:8" x14ac:dyDescent="0.25">
      <c r="A3" s="418" t="s">
        <v>158</v>
      </c>
      <c r="B3" s="418"/>
      <c r="C3" s="420" t="str">
        <f>+""&amp;Datos!B35&amp;" "&amp;Datos!C35&amp;""</f>
        <v>CONTRATO No. C.  005-03-2020</v>
      </c>
      <c r="D3" s="420"/>
      <c r="E3" s="420"/>
      <c r="F3" s="420"/>
      <c r="G3" s="420"/>
      <c r="H3" s="420"/>
    </row>
    <row r="4" spans="1:8" ht="14.45" customHeight="1" x14ac:dyDescent="0.25">
      <c r="A4" s="418" t="s">
        <v>174</v>
      </c>
      <c r="B4" s="418"/>
      <c r="C4" s="420" t="str">
        <f>+Datos!B49</f>
        <v>INSTITUCIÓN EDUCATIVA JOAQUIN VALLEJO ARBELAEZ</v>
      </c>
      <c r="D4" s="420"/>
      <c r="E4" s="420"/>
      <c r="F4" s="420"/>
      <c r="G4" s="420"/>
      <c r="H4" s="420"/>
    </row>
    <row r="5" spans="1:8" ht="14.45" customHeight="1" x14ac:dyDescent="0.25">
      <c r="A5" s="418" t="s">
        <v>175</v>
      </c>
      <c r="B5" s="418"/>
      <c r="C5" s="418" t="str">
        <f>IF(ISBLANK(Datos!C6),"",Datos!C6)</f>
        <v>EDITORIAL LIBROS Y LIBROS S.A L Y L S.A</v>
      </c>
      <c r="D5" s="418"/>
      <c r="E5" s="418"/>
      <c r="F5" s="418"/>
      <c r="G5" s="418"/>
      <c r="H5" s="418"/>
    </row>
    <row r="6" spans="1:8" ht="35.25" customHeight="1" x14ac:dyDescent="0.25">
      <c r="A6" s="418" t="s">
        <v>176</v>
      </c>
      <c r="B6" s="418"/>
      <c r="C6" s="414" t="str">
        <f>IF(ISBLANK(Datos!C8),"",Datos!C8)</f>
        <v>Compra de textos escolares de 6° a 11°</v>
      </c>
      <c r="D6" s="415"/>
      <c r="E6" s="415"/>
      <c r="F6" s="415"/>
      <c r="G6" s="415"/>
      <c r="H6" s="416"/>
    </row>
    <row r="7" spans="1:8" ht="13.5" customHeight="1" x14ac:dyDescent="0.25">
      <c r="A7" s="421" t="s">
        <v>177</v>
      </c>
      <c r="B7" s="421"/>
      <c r="C7" s="417">
        <f>IF(ISBLANK(Datos!C9),"",Datos!C9)</f>
        <v>17240000</v>
      </c>
      <c r="D7" s="417"/>
      <c r="E7" s="417"/>
      <c r="F7" s="417"/>
      <c r="G7" s="417"/>
      <c r="H7" s="417"/>
    </row>
    <row r="8" spans="1:8" ht="14.45" customHeight="1" x14ac:dyDescent="0.25">
      <c r="A8" s="418" t="s">
        <v>178</v>
      </c>
      <c r="B8" s="418"/>
      <c r="C8" s="307" t="str">
        <f>IF(ISBLANK(Datos!C37),"",Datos!C37)</f>
        <v>12 de mayo de 2020</v>
      </c>
      <c r="D8" s="307"/>
      <c r="E8" s="307"/>
      <c r="F8" s="307"/>
      <c r="G8" s="307"/>
      <c r="H8" s="307"/>
    </row>
    <row r="9" spans="1:8" ht="14.45" customHeight="1" x14ac:dyDescent="0.25">
      <c r="A9" s="418" t="s">
        <v>179</v>
      </c>
      <c r="B9" s="418"/>
      <c r="C9" s="307" t="str">
        <f>IF(ISBLANK(Datos!C38),"",Datos!C38)</f>
        <v>15 de mayo de  2020</v>
      </c>
      <c r="D9" s="307"/>
      <c r="E9" s="307"/>
      <c r="F9" s="307"/>
      <c r="G9" s="307"/>
      <c r="H9" s="307"/>
    </row>
    <row r="10" spans="1:8" ht="14.45" customHeight="1" x14ac:dyDescent="0.25">
      <c r="A10" s="418" t="s">
        <v>50</v>
      </c>
      <c r="B10" s="418"/>
      <c r="C10" s="307" t="str">
        <f>IF(ISBLANK(Datos!C39),"",Datos!C39)</f>
        <v>3 dias</v>
      </c>
      <c r="D10" s="307"/>
      <c r="E10" s="307"/>
      <c r="F10" s="307"/>
      <c r="G10" s="307"/>
      <c r="H10" s="307"/>
    </row>
    <row r="11" spans="1:8" x14ac:dyDescent="0.25">
      <c r="A11" s="25"/>
      <c r="B11" s="25"/>
      <c r="C11" s="25"/>
      <c r="D11" s="25"/>
      <c r="E11" s="25"/>
      <c r="F11" s="25"/>
      <c r="G11" s="25"/>
      <c r="H11" s="25"/>
    </row>
    <row r="12" spans="1:8" ht="15.75" x14ac:dyDescent="0.25">
      <c r="A12" s="419" t="s">
        <v>156</v>
      </c>
      <c r="B12" s="419"/>
      <c r="C12" s="419"/>
      <c r="D12" s="419"/>
      <c r="E12" s="419"/>
      <c r="F12" s="419"/>
      <c r="G12" s="419"/>
      <c r="H12" s="419"/>
    </row>
    <row r="13" spans="1:8" ht="70.5" customHeight="1" x14ac:dyDescent="0.25">
      <c r="A13" s="409" t="str">
        <f>+""&amp;Datos!B52&amp;", con cédula de ciudadanía "&amp;Datos!B53&amp;" representando legalmente la "&amp;Datos!B49&amp;", obrando de conformidad con el Artículo 13 de la Ley 715 de 2001, el Decreto 1075 de 2015, Decreto 1082 de 2015, y el "&amp;Datos!B54&amp;" expedido por el Consejo Directivo de la Institución,  los cuales autorizan a la Rectoría para algunas funciones, entre ellas ordenar gastos, autorizar a la prestación de servicios y compras o la ejecución de obras y celebrar contratos."</f>
        <v>CARLOS MARIO GIRALDO JIMENEZ, con cédula de ciudadanía 71.661.819 representando legalmente la INSTITUCIÓN EDUCATIVA JOAQUIN VALLEJO ARBELAEZ, obrando de conformidad con el Artículo 13 de la Ley 715 de 2001, el Decreto 1075 de 2015, Decreto 1082 de 2015, y el Acuerdo N° 05 del 22 de Abril de 2020 expedido por el Consejo Directivo de la Institución,  los cuales autorizan a la Rectoría para algunas funciones, entre ellas ordenar gastos, autorizar a la prestación de servicios y compras o la ejecución de obras y celebrar contratos.</v>
      </c>
      <c r="B13" s="409"/>
      <c r="C13" s="409"/>
      <c r="D13" s="409"/>
      <c r="E13" s="409"/>
      <c r="F13" s="409"/>
      <c r="G13" s="409"/>
      <c r="H13" s="409"/>
    </row>
    <row r="14" spans="1:8" x14ac:dyDescent="0.25">
      <c r="A14" s="58"/>
      <c r="B14" s="58"/>
      <c r="C14" s="58"/>
      <c r="D14" s="58"/>
      <c r="E14" s="58"/>
      <c r="F14" s="58"/>
      <c r="G14" s="58"/>
      <c r="H14" s="58"/>
    </row>
    <row r="15" spans="1:8" ht="30.75" customHeight="1" x14ac:dyDescent="0.25">
      <c r="A15" s="409" t="str">
        <f>+"Con base en los anteriores fundamentos legales y teniendo en cuenta la Resolución Rectoral  No. RAC. "&amp;Datos!C27&amp;" de "&amp;Datos!J63&amp;", mediante la cual se realiza la adjudicación objeto de este contrato.---------------------------------------------------------------------"</f>
        <v>Con base en los anteriores fundamentos legales y teniendo en cuenta la Resolución Rectoral  No. RAC. 005-03-2020 de 11 de mayo de 2020, mediante la cual se realiza la adjudicación objeto de este contrato.---------------------------------------------------------------------</v>
      </c>
      <c r="B15" s="409"/>
      <c r="C15" s="409"/>
      <c r="D15" s="409"/>
      <c r="E15" s="409"/>
      <c r="F15" s="409"/>
      <c r="G15" s="409"/>
      <c r="H15" s="409"/>
    </row>
    <row r="16" spans="1:8" x14ac:dyDescent="0.25">
      <c r="A16" s="58"/>
      <c r="B16" s="58"/>
      <c r="C16" s="58"/>
      <c r="D16" s="58"/>
      <c r="E16" s="58"/>
      <c r="F16" s="58"/>
      <c r="G16" s="58"/>
      <c r="H16" s="58"/>
    </row>
    <row r="17" spans="1:8" ht="41.25" customHeight="1" x14ac:dyDescent="0.25">
      <c r="A17" s="409" t="str">
        <f>"Y "&amp;Datos!C6&amp;", identificado con NIT. "&amp;Datos!C7&amp;", representado legalmente por "&amp;Datos!C3&amp;", con C.C. "&amp;Datos!C4&amp;",  acordamos celebrar EL PRESENTE CONTRATO: "&amp;Datos!C8&amp;",  el cual se regirá por las siguientes cláusulas:--------------------------------------------------------"</f>
        <v>Y EDITORIAL LIBROS Y LIBROS S.A L Y L S.A, identificado con NIT. 860.531.396-1, representado legalmente por ERNESTO DIAZ CENTENO, con C.C. 79.939.198,  acordamos celebrar EL PRESENTE CONTRATO: Compra de textos escolares de 6° a 11°,  el cual se regirá por las siguientes cláusulas:--------------------------------------------------------</v>
      </c>
      <c r="B17" s="409"/>
      <c r="C17" s="409"/>
      <c r="D17" s="409"/>
      <c r="E17" s="409"/>
      <c r="F17" s="409"/>
      <c r="G17" s="409"/>
      <c r="H17" s="409"/>
    </row>
    <row r="18" spans="1:8" x14ac:dyDescent="0.25">
      <c r="A18" s="58"/>
      <c r="B18" s="58"/>
      <c r="C18" s="58"/>
      <c r="D18" s="58"/>
      <c r="E18" s="58"/>
      <c r="F18" s="58"/>
      <c r="G18" s="58"/>
      <c r="H18" s="58"/>
    </row>
    <row r="19" spans="1:8" ht="29.25" customHeight="1" x14ac:dyDescent="0.25">
      <c r="A19" s="409" t="str">
        <f>+"PRIMERA. OBLIGACIONES DEL CONTRATISTA: El CONTRATISTA se obliga con la "&amp;Datos!B49&amp;" a lo siguiente:-------------------------------------------------------------"</f>
        <v>PRIMERA. OBLIGACIONES DEL CONTRATISTA: El CONTRATISTA se obliga con la INSTITUCIÓN EDUCATIVA JOAQUIN VALLEJO ARBELAEZ a lo siguiente:-------------------------------------------------------------</v>
      </c>
      <c r="B19" s="409"/>
      <c r="C19" s="409"/>
      <c r="D19" s="409"/>
      <c r="E19" s="409"/>
      <c r="F19" s="409"/>
      <c r="G19" s="409"/>
      <c r="H19" s="409"/>
    </row>
    <row r="20" spans="1:8" ht="33" customHeight="1" x14ac:dyDescent="0.25">
      <c r="A20" s="409" t="s">
        <v>214</v>
      </c>
      <c r="B20" s="409"/>
      <c r="C20" s="409"/>
      <c r="D20" s="409"/>
      <c r="E20" s="409"/>
      <c r="F20" s="409"/>
      <c r="G20" s="409"/>
      <c r="H20" s="409"/>
    </row>
    <row r="21" spans="1:8" x14ac:dyDescent="0.25">
      <c r="A21" s="42"/>
      <c r="B21" s="42"/>
      <c r="C21" s="42"/>
      <c r="D21" s="42"/>
      <c r="E21" s="42"/>
      <c r="F21" s="42"/>
      <c r="G21" s="42"/>
      <c r="H21" s="42"/>
    </row>
    <row r="22" spans="1:8" ht="15.6" customHeight="1" x14ac:dyDescent="0.25">
      <c r="A22" s="314" t="str">
        <f>Datos!H69</f>
        <v>CANTIDADES</v>
      </c>
      <c r="B22" s="314"/>
      <c r="C22" s="314" t="str">
        <f>Datos!I69</f>
        <v>DETALLE</v>
      </c>
      <c r="D22" s="314"/>
      <c r="E22" s="314"/>
      <c r="F22" s="314"/>
      <c r="G22" s="314"/>
      <c r="H22" s="314"/>
    </row>
    <row r="23" spans="1:8" ht="15.6" customHeight="1" x14ac:dyDescent="0.25">
      <c r="A23" s="321">
        <f>IF(ISBLANK(Datos!H70),"",Datos!H70)</f>
        <v>110</v>
      </c>
      <c r="B23" s="323"/>
      <c r="C23" s="422" t="str">
        <f>IF(ISBLANK(Datos!I70),"",Datos!I70)</f>
        <v>LENGUAJE 6°</v>
      </c>
      <c r="D23" s="423"/>
      <c r="E23" s="423"/>
      <c r="F23" s="423"/>
      <c r="G23" s="423"/>
      <c r="H23" s="424"/>
    </row>
    <row r="24" spans="1:8" ht="15.6" customHeight="1" x14ac:dyDescent="0.25">
      <c r="A24" s="321">
        <f>IF(ISBLANK(Datos!H71),"",Datos!H71)</f>
        <v>90</v>
      </c>
      <c r="B24" s="323"/>
      <c r="C24" s="422" t="str">
        <f>IF(ISBLANK(Datos!I71),"",Datos!I71)</f>
        <v>LENGUAJE 7°</v>
      </c>
      <c r="D24" s="423"/>
      <c r="E24" s="423"/>
      <c r="F24" s="423"/>
      <c r="G24" s="423"/>
      <c r="H24" s="424"/>
    </row>
    <row r="25" spans="1:8" ht="15.6" customHeight="1" x14ac:dyDescent="0.25">
      <c r="A25" s="321">
        <f>IF(ISBLANK(Datos!H72),"",Datos!H72)</f>
        <v>90</v>
      </c>
      <c r="B25" s="323"/>
      <c r="C25" s="422" t="str">
        <f>IF(ISBLANK(Datos!I72),"",Datos!I72)</f>
        <v>LENGUAJE 8°</v>
      </c>
      <c r="D25" s="423"/>
      <c r="E25" s="423"/>
      <c r="F25" s="423"/>
      <c r="G25" s="423"/>
      <c r="H25" s="424"/>
    </row>
    <row r="26" spans="1:8" ht="15.6" customHeight="1" x14ac:dyDescent="0.25">
      <c r="A26" s="321">
        <f>IF(ISBLANK(Datos!H73),"",Datos!H73)</f>
        <v>50</v>
      </c>
      <c r="B26" s="323"/>
      <c r="C26" s="422" t="str">
        <f>IF(ISBLANK(Datos!I73),"",Datos!I73)</f>
        <v>LENGUAJE 9°</v>
      </c>
      <c r="D26" s="423"/>
      <c r="E26" s="423"/>
      <c r="F26" s="423"/>
      <c r="G26" s="423"/>
      <c r="H26" s="424"/>
    </row>
    <row r="27" spans="1:8" ht="15.6" customHeight="1" x14ac:dyDescent="0.25">
      <c r="A27" s="321">
        <f>IF(ISBLANK(Datos!H74),"",Datos!H74)</f>
        <v>50</v>
      </c>
      <c r="B27" s="323"/>
      <c r="C27" s="422" t="str">
        <f>IF(ISBLANK(Datos!I74),"",Datos!I74)</f>
        <v>LENGUAJE 10°</v>
      </c>
      <c r="D27" s="423"/>
      <c r="E27" s="423"/>
      <c r="F27" s="423"/>
      <c r="G27" s="423"/>
      <c r="H27" s="424"/>
    </row>
    <row r="28" spans="1:8" ht="15.6" customHeight="1" x14ac:dyDescent="0.25">
      <c r="A28" s="321">
        <f>IF(ISBLANK(Datos!H75),"",Datos!H75)</f>
        <v>47</v>
      </c>
      <c r="B28" s="323"/>
      <c r="C28" s="422" t="str">
        <f>IF(ISBLANK(Datos!I75),"",Datos!I75)</f>
        <v>LENGUAJE 11°</v>
      </c>
      <c r="D28" s="423"/>
      <c r="E28" s="423"/>
      <c r="F28" s="423"/>
      <c r="G28" s="423"/>
      <c r="H28" s="424"/>
    </row>
    <row r="29" spans="1:8" ht="15.6" customHeight="1" x14ac:dyDescent="0.25">
      <c r="A29" s="321">
        <f>IF(ISBLANK(Datos!H76),"",Datos!H76)</f>
        <v>110</v>
      </c>
      <c r="B29" s="323"/>
      <c r="C29" s="422" t="str">
        <f>IF(ISBLANK(Datos!I76),"",Datos!I76)</f>
        <v>MATEMATICAS 6°</v>
      </c>
      <c r="D29" s="423"/>
      <c r="E29" s="423"/>
      <c r="F29" s="423"/>
      <c r="G29" s="423"/>
      <c r="H29" s="424"/>
    </row>
    <row r="30" spans="1:8" ht="15.6" customHeight="1" x14ac:dyDescent="0.25">
      <c r="A30" s="321">
        <f>IF(ISBLANK(Datos!H77),"",Datos!H77)</f>
        <v>90</v>
      </c>
      <c r="B30" s="323"/>
      <c r="C30" s="422" t="str">
        <f>IF(ISBLANK(Datos!I77),"",Datos!I77)</f>
        <v>MATEMATICAS 7°</v>
      </c>
      <c r="D30" s="423"/>
      <c r="E30" s="423"/>
      <c r="F30" s="423"/>
      <c r="G30" s="423"/>
      <c r="H30" s="424"/>
    </row>
    <row r="31" spans="1:8" ht="15.6" customHeight="1" x14ac:dyDescent="0.25">
      <c r="A31" s="321">
        <f>IF(ISBLANK(Datos!H78),"",Datos!H78)</f>
        <v>90</v>
      </c>
      <c r="B31" s="323"/>
      <c r="C31" s="422" t="str">
        <f>IF(ISBLANK(Datos!I78),"",Datos!I78)</f>
        <v>MATEMATICAS 8°</v>
      </c>
      <c r="D31" s="423"/>
      <c r="E31" s="423"/>
      <c r="F31" s="423"/>
      <c r="G31" s="423"/>
      <c r="H31" s="424"/>
    </row>
    <row r="32" spans="1:8" ht="15.6" customHeight="1" x14ac:dyDescent="0.25">
      <c r="A32" s="321">
        <f>IF(ISBLANK(Datos!H79),"",Datos!H79)</f>
        <v>50</v>
      </c>
      <c r="B32" s="323"/>
      <c r="C32" s="422" t="str">
        <f>IF(ISBLANK(Datos!I79),"",Datos!I79)</f>
        <v>MATEMATICAS 9°</v>
      </c>
      <c r="D32" s="423"/>
      <c r="E32" s="423"/>
      <c r="F32" s="423"/>
      <c r="G32" s="423"/>
      <c r="H32" s="424"/>
    </row>
    <row r="33" spans="1:8" ht="15.6" customHeight="1" x14ac:dyDescent="0.25">
      <c r="A33" s="321">
        <f>IF(ISBLANK(Datos!H80),"",Datos!H80)</f>
        <v>50</v>
      </c>
      <c r="B33" s="323"/>
      <c r="C33" s="422" t="str">
        <f>IF(ISBLANK(Datos!I80),"",Datos!I80)</f>
        <v>MATEMATICAS 10°</v>
      </c>
      <c r="D33" s="423"/>
      <c r="E33" s="423"/>
      <c r="F33" s="423"/>
      <c r="G33" s="423"/>
      <c r="H33" s="424"/>
    </row>
    <row r="34" spans="1:8" ht="15.6" customHeight="1" x14ac:dyDescent="0.25">
      <c r="A34" s="321">
        <f>IF(ISBLANK(Datos!H81),"",Datos!H81)</f>
        <v>47</v>
      </c>
      <c r="B34" s="323"/>
      <c r="C34" s="422" t="str">
        <f>IF(ISBLANK(Datos!I81),"",Datos!I81)</f>
        <v>MATEMATICAS 11°</v>
      </c>
      <c r="D34" s="423"/>
      <c r="E34" s="423"/>
      <c r="F34" s="423"/>
      <c r="G34" s="423"/>
      <c r="H34" s="424"/>
    </row>
    <row r="35" spans="1:8" ht="15.6" customHeight="1" x14ac:dyDescent="0.25">
      <c r="A35" s="213"/>
      <c r="B35" s="213"/>
      <c r="C35" s="214"/>
      <c r="D35" s="214"/>
      <c r="E35" s="214"/>
      <c r="F35" s="214"/>
      <c r="G35" s="214"/>
      <c r="H35" s="214"/>
    </row>
    <row r="36" spans="1:8" ht="32.25" customHeight="1" x14ac:dyDescent="0.25">
      <c r="A36" s="409" t="str">
        <f>+"2. A entregar los bienes y/o servicios de acuerdo con los pedidos  solicitados por el contratante durante el tiempo de la ejecución del contrato en un plazo no mayor a "&amp;Datos!C39&amp;"  luego de  que el contratante realice el pedido.--------------------------------------------------"</f>
        <v>2. A entregar los bienes y/o servicios de acuerdo con los pedidos  solicitados por el contratante durante el tiempo de la ejecución del contrato en un plazo no mayor a 3 dias  luego de  que el contratante realice el pedido.--------------------------------------------------</v>
      </c>
      <c r="B36" s="409"/>
      <c r="C36" s="409"/>
      <c r="D36" s="409"/>
      <c r="E36" s="409"/>
      <c r="F36" s="409"/>
      <c r="G36" s="409"/>
      <c r="H36" s="409"/>
    </row>
    <row r="37" spans="1:8" x14ac:dyDescent="0.25">
      <c r="A37" s="58"/>
      <c r="B37" s="58"/>
      <c r="C37" s="58"/>
      <c r="D37" s="58"/>
      <c r="E37" s="58"/>
      <c r="F37" s="58"/>
      <c r="G37" s="58"/>
      <c r="H37" s="58"/>
    </row>
    <row r="38" spans="1:8" ht="30.75" customHeight="1" x14ac:dyDescent="0.25">
      <c r="A38" s="409" t="str">
        <f>+"3. A entregar los bienes y/o servicios de buena calidad en las instalaciones de la "&amp;Datos!B49&amp;", ubicada en la "&amp;Datos!B55&amp;".-----------------------------------------------"</f>
        <v>3. A entregar los bienes y/o servicios de buena calidad en las instalaciones de la INSTITUCIÓN EDUCATIVA JOAQUIN VALLEJO ARBELAEZ, ubicada en la CARRERA 19 N° 59 C 175.-----------------------------------------------</v>
      </c>
      <c r="B38" s="409"/>
      <c r="C38" s="409"/>
      <c r="D38" s="409"/>
      <c r="E38" s="409"/>
      <c r="F38" s="409"/>
      <c r="G38" s="409"/>
      <c r="H38" s="409"/>
    </row>
    <row r="39" spans="1:8" x14ac:dyDescent="0.25">
      <c r="A39" s="58"/>
      <c r="B39" s="58"/>
      <c r="C39" s="58"/>
      <c r="D39" s="58"/>
      <c r="E39" s="58"/>
      <c r="F39" s="58"/>
      <c r="G39" s="58"/>
      <c r="H39" s="58"/>
    </row>
    <row r="40" spans="1:8" ht="54" customHeight="1" x14ac:dyDescent="0.25">
      <c r="A40" s="408" t="s">
        <v>277</v>
      </c>
      <c r="B40" s="409"/>
      <c r="C40" s="409"/>
      <c r="D40" s="409"/>
      <c r="E40" s="409"/>
      <c r="F40" s="409"/>
      <c r="G40" s="409"/>
      <c r="H40" s="409"/>
    </row>
    <row r="41" spans="1:8" x14ac:dyDescent="0.25">
      <c r="A41" s="59"/>
      <c r="B41" s="58"/>
      <c r="C41" s="58"/>
      <c r="D41" s="58"/>
      <c r="E41" s="58"/>
      <c r="F41" s="58"/>
      <c r="G41" s="58"/>
      <c r="H41" s="58"/>
    </row>
    <row r="42" spans="1:8" x14ac:dyDescent="0.25">
      <c r="A42" s="407" t="str">
        <f>+"TERCERA. DURACIÓN: El presente contrato tendrá una duración del "&amp;Datos!C21&amp;", contados a partir de "&amp;Datos!C37&amp;".-------------------------------"</f>
        <v>TERCERA. DURACIÓN: El presente contrato tendrá una duración del 3 dias, contados a partir de 12 de mayo de 2020.-------------------------------</v>
      </c>
      <c r="B42" s="407"/>
      <c r="C42" s="407"/>
      <c r="D42" s="407"/>
      <c r="E42" s="407"/>
      <c r="F42" s="407"/>
      <c r="G42" s="407"/>
      <c r="H42" s="407"/>
    </row>
    <row r="43" spans="1:8" x14ac:dyDescent="0.25">
      <c r="A43" s="42"/>
      <c r="B43" s="42"/>
      <c r="C43" s="42"/>
      <c r="D43" s="42"/>
      <c r="E43" s="42"/>
      <c r="F43" s="42"/>
      <c r="G43" s="42"/>
      <c r="H43" s="42"/>
    </row>
    <row r="44" spans="1:8" ht="30" customHeight="1" x14ac:dyDescent="0.25">
      <c r="A44" s="406" t="s">
        <v>215</v>
      </c>
      <c r="B44" s="407"/>
      <c r="C44" s="407"/>
      <c r="D44" s="407"/>
      <c r="E44" s="407"/>
      <c r="F44" s="407"/>
      <c r="G44" s="407"/>
      <c r="H44" s="407"/>
    </row>
    <row r="45" spans="1:8" x14ac:dyDescent="0.25">
      <c r="A45" s="47"/>
      <c r="B45" s="45"/>
      <c r="C45" s="45"/>
      <c r="D45" s="45"/>
      <c r="E45" s="45"/>
      <c r="F45" s="45"/>
      <c r="G45" s="45"/>
      <c r="H45" s="45"/>
    </row>
    <row r="46" spans="1:8" ht="42.75" customHeight="1" x14ac:dyDescent="0.25">
      <c r="A46" s="409" t="str">
        <f>+"QUINTA.  OBLIGACIÓN LABORAL: Ni la "&amp;Datos!B49&amp;" ni "&amp;Datos!B52&amp;", adquieren relación laboral u obligación de este tipo con el CONTRATISTA, en relación al objeto de este contrato, por lo tanto con el pago de la suma aquí pactada, el CONTRATISTA manifiesta que el CONTRATANTE se encuentra a paz y salvo por el servicio---"</f>
        <v>QUINTA.  OBLIGACIÓN LABORAL: Ni la INSTITUCIÓN EDUCATIVA JOAQUIN VALLEJO ARBELAEZ ni CARLOS MARIO GIRALDO JIMENEZ, adquieren relación laboral u obligación de este tipo con el CONTRATISTA, en relación al objeto de este contrato, por lo tanto con el pago de la suma aquí pactada, el CONTRATISTA manifiesta que el CONTRATANTE se encuentra a paz y salvo por el servicio---</v>
      </c>
      <c r="B46" s="409"/>
      <c r="C46" s="409"/>
      <c r="D46" s="409"/>
      <c r="E46" s="409"/>
      <c r="F46" s="409"/>
      <c r="G46" s="409"/>
      <c r="H46" s="409"/>
    </row>
    <row r="47" spans="1:8" x14ac:dyDescent="0.25">
      <c r="A47" s="42"/>
      <c r="B47" s="42"/>
      <c r="C47" s="42"/>
      <c r="D47" s="42"/>
      <c r="E47" s="42"/>
      <c r="F47" s="42"/>
      <c r="G47" s="42"/>
      <c r="H47" s="42"/>
    </row>
    <row r="48" spans="1:8" ht="45.75" customHeight="1" x14ac:dyDescent="0.25">
      <c r="A48" s="408" t="str">
        <f>+"SEXTA. SUPERVISIÓN: La supervisión de este contrato estará a cargo de "&amp;Datos!B52&amp;" como ordenador del gasto y como administrador del Fondo de Servicios Educativos, quien  velará por el estricto cumplimiento del objeto del contrato, incluida las obligaciones del contratista."</f>
        <v>SEXTA. SUPERVISIÓN: La supervisión de este contrato estará a cargo de CARLOS MARIO GIRALDO JIMENEZ como ordenador del gasto y como administrador del Fondo de Servicios Educativos, quien  velará por el estricto cumplimiento del objeto del contrato, incluida las obligaciones del contratista.</v>
      </c>
      <c r="B48" s="409"/>
      <c r="C48" s="409"/>
      <c r="D48" s="409"/>
      <c r="E48" s="409"/>
      <c r="F48" s="409"/>
      <c r="G48" s="409"/>
      <c r="H48" s="409"/>
    </row>
    <row r="49" spans="1:8" x14ac:dyDescent="0.25">
      <c r="A49" s="406" t="s">
        <v>301</v>
      </c>
      <c r="B49" s="407"/>
      <c r="C49" s="407"/>
      <c r="D49" s="407"/>
      <c r="E49" s="407"/>
      <c r="F49" s="407"/>
      <c r="G49" s="407"/>
      <c r="H49" s="407"/>
    </row>
    <row r="50" spans="1:8" x14ac:dyDescent="0.25">
      <c r="A50" s="47"/>
      <c r="B50" s="45"/>
      <c r="C50" s="45"/>
      <c r="D50" s="45"/>
      <c r="E50" s="45"/>
      <c r="F50" s="45"/>
      <c r="G50" s="45"/>
      <c r="H50" s="45"/>
    </row>
    <row r="51" spans="1:8" ht="29.25" customHeight="1" x14ac:dyDescent="0.25">
      <c r="A51" s="408" t="s">
        <v>216</v>
      </c>
      <c r="B51" s="408"/>
      <c r="C51" s="408"/>
      <c r="D51" s="408"/>
      <c r="E51" s="408"/>
      <c r="F51" s="408"/>
      <c r="G51" s="408"/>
      <c r="H51" s="408"/>
    </row>
    <row r="52" spans="1:8" x14ac:dyDescent="0.25">
      <c r="A52" s="59"/>
      <c r="B52" s="59"/>
      <c r="C52" s="59"/>
      <c r="D52" s="59"/>
      <c r="E52" s="59"/>
      <c r="F52" s="59"/>
      <c r="G52" s="59"/>
      <c r="H52" s="59"/>
    </row>
    <row r="53" spans="1:8" ht="42.75" customHeight="1" x14ac:dyDescent="0.25">
      <c r="A53" s="408" t="s">
        <v>217</v>
      </c>
      <c r="B53" s="409"/>
      <c r="C53" s="409"/>
      <c r="D53" s="409"/>
      <c r="E53" s="409"/>
      <c r="F53" s="409"/>
      <c r="G53" s="409"/>
      <c r="H53" s="409"/>
    </row>
    <row r="54" spans="1:8" x14ac:dyDescent="0.25">
      <c r="A54" s="47"/>
      <c r="B54" s="45"/>
      <c r="C54" s="45"/>
      <c r="D54" s="45"/>
      <c r="E54" s="45"/>
      <c r="F54" s="45"/>
      <c r="G54" s="45"/>
      <c r="H54" s="45"/>
    </row>
    <row r="55" spans="1:8" ht="43.5" customHeight="1" x14ac:dyDescent="0.25">
      <c r="A55" s="411" t="s">
        <v>239</v>
      </c>
      <c r="B55" s="411"/>
      <c r="C55" s="411"/>
      <c r="D55" s="411"/>
      <c r="E55" s="411"/>
      <c r="F55" s="411"/>
      <c r="G55" s="411"/>
      <c r="H55" s="411"/>
    </row>
    <row r="56" spans="1:8" x14ac:dyDescent="0.25">
      <c r="A56" s="47"/>
      <c r="B56" s="45"/>
      <c r="C56" s="45"/>
      <c r="D56" s="45"/>
      <c r="E56" s="45"/>
      <c r="F56" s="45"/>
      <c r="G56" s="45"/>
      <c r="H56" s="45"/>
    </row>
    <row r="57" spans="1:8" ht="29.25" customHeight="1" x14ac:dyDescent="0.25">
      <c r="A57" s="407" t="str">
        <f>+"DÉCIMA. DOMICILIO: Para todos los efectos legales, relacionados con el desarrollo de este contrato,  se fija como domicilio el Municipio de "&amp;Datos!B50&amp;". La dirección del contratista es "&amp;Datos!C40&amp;" y la del contratante es "&amp;Datos!B55&amp;".---------------------------"</f>
        <v>DÉCIMA. DOMICILIO: Para todos los efectos legales, relacionados con el desarrollo de este contrato,  se fija como domicilio el Municipio de MEDELLÍN. La dirección del contratista es CALLE 15 ·68D-52 y la del contratante es CARRERA 19 N° 59 C 175.---------------------------</v>
      </c>
      <c r="B57" s="407"/>
      <c r="C57" s="407"/>
      <c r="D57" s="407"/>
      <c r="E57" s="407"/>
      <c r="F57" s="407"/>
      <c r="G57" s="407"/>
      <c r="H57" s="407"/>
    </row>
    <row r="58" spans="1:8" x14ac:dyDescent="0.25">
      <c r="A58" s="26"/>
      <c r="B58" s="26"/>
      <c r="C58" s="26"/>
      <c r="D58" s="26"/>
      <c r="E58" s="26"/>
      <c r="F58" s="26"/>
      <c r="G58" s="26"/>
      <c r="H58" s="26"/>
    </row>
    <row r="59" spans="1:8" x14ac:dyDescent="0.25">
      <c r="A59" s="410" t="str">
        <f>+"Para constancia se firma en la ciudad de "&amp;Datos!B50&amp;" el "&amp;Datos!J65&amp;""</f>
        <v>Para constancia se firma en la ciudad de MEDELLÍN el 12 de mayo de 2020</v>
      </c>
      <c r="B59" s="410"/>
      <c r="C59" s="410"/>
      <c r="D59" s="410"/>
      <c r="E59" s="410"/>
      <c r="F59" s="410"/>
      <c r="G59" s="410"/>
      <c r="H59" s="410"/>
    </row>
    <row r="60" spans="1:8" x14ac:dyDescent="0.25">
      <c r="A60" s="26"/>
      <c r="B60" s="26"/>
      <c r="C60" s="26"/>
      <c r="D60" s="26"/>
      <c r="E60" s="26"/>
      <c r="F60" s="26"/>
      <c r="G60" s="26"/>
      <c r="H60" s="26"/>
    </row>
    <row r="61" spans="1:8" ht="15" customHeight="1" x14ac:dyDescent="0.25">
      <c r="A61" s="400" t="s">
        <v>154</v>
      </c>
      <c r="B61" s="400"/>
      <c r="C61" s="400"/>
      <c r="D61" s="68"/>
      <c r="E61" s="68"/>
      <c r="F61" s="400" t="s">
        <v>155</v>
      </c>
      <c r="G61" s="400"/>
      <c r="H61" s="400"/>
    </row>
    <row r="62" spans="1:8" x14ac:dyDescent="0.25">
      <c r="A62" s="63"/>
      <c r="B62" s="63"/>
      <c r="C62" s="63"/>
      <c r="D62" s="63"/>
      <c r="E62" s="63"/>
      <c r="F62" s="63"/>
      <c r="G62" s="63"/>
      <c r="H62" s="63"/>
    </row>
    <row r="63" spans="1:8" x14ac:dyDescent="0.25">
      <c r="A63" s="63"/>
      <c r="B63" s="63"/>
      <c r="C63" s="63"/>
      <c r="D63" s="63"/>
      <c r="E63" s="63"/>
      <c r="F63" s="63"/>
      <c r="G63" s="63"/>
      <c r="H63" s="63"/>
    </row>
    <row r="64" spans="1:8" x14ac:dyDescent="0.25">
      <c r="A64" s="45"/>
      <c r="B64" s="45"/>
      <c r="C64" s="45"/>
      <c r="D64" s="45"/>
      <c r="E64" s="45"/>
      <c r="F64" s="45"/>
      <c r="G64" s="45"/>
      <c r="H64" s="45"/>
    </row>
    <row r="65" spans="1:13" x14ac:dyDescent="0.25">
      <c r="A65" s="401" t="str">
        <f>+""&amp;Datos!B51&amp;""</f>
        <v>CARLOS MARIO GIRALDO JIMENEZ
Rector</v>
      </c>
      <c r="B65" s="401"/>
      <c r="C65" s="401"/>
      <c r="D65" s="45"/>
      <c r="E65" s="45"/>
      <c r="F65" s="405" t="str">
        <f>+""&amp;Datos!C3&amp;""</f>
        <v>ERNESTO DIAZ CENTENO</v>
      </c>
      <c r="G65" s="405"/>
      <c r="H65" s="405"/>
    </row>
    <row r="66" spans="1:13" x14ac:dyDescent="0.25">
      <c r="A66" s="402"/>
      <c r="B66" s="402"/>
      <c r="C66" s="402"/>
      <c r="D66" s="45"/>
      <c r="E66" s="45"/>
      <c r="F66" s="403" t="str">
        <f>+"C.C."&amp;Datos!C4&amp;""</f>
        <v>C.C.79.939.198</v>
      </c>
      <c r="G66" s="403"/>
      <c r="H66" s="403"/>
    </row>
    <row r="67" spans="1:13" ht="35.25" customHeight="1" x14ac:dyDescent="0.25">
      <c r="A67" s="404" t="str">
        <f>+"C.C."&amp;Datos!B53&amp;""</f>
        <v>C.C.71.661.819</v>
      </c>
      <c r="B67" s="404"/>
      <c r="C67" s="404"/>
      <c r="D67" s="61"/>
      <c r="E67" s="61"/>
      <c r="F67" s="399" t="str">
        <f>+"Representante legal de "&amp;Datos!C6&amp;""</f>
        <v>Representante legal de EDITORIAL LIBROS Y LIBROS S.A L Y L S.A</v>
      </c>
      <c r="G67" s="399"/>
      <c r="H67" s="399"/>
      <c r="I67" s="70"/>
      <c r="J67" s="70"/>
      <c r="K67" s="70"/>
      <c r="L67" s="70"/>
      <c r="M67" s="70"/>
    </row>
    <row r="68" spans="1:13" x14ac:dyDescent="0.25">
      <c r="A68" s="60"/>
      <c r="B68" s="60"/>
      <c r="C68" s="60"/>
      <c r="D68" s="60"/>
      <c r="E68" s="60"/>
      <c r="F68" s="60"/>
      <c r="G68" s="60"/>
      <c r="H68" s="60"/>
    </row>
    <row r="69" spans="1:13" x14ac:dyDescent="0.25">
      <c r="A69" s="60"/>
      <c r="B69" s="60"/>
      <c r="C69" s="60"/>
      <c r="D69" s="60"/>
      <c r="E69" s="60"/>
      <c r="F69" s="60"/>
      <c r="G69" s="60"/>
      <c r="H69" s="60"/>
    </row>
    <row r="70" spans="1:13" x14ac:dyDescent="0.25">
      <c r="A70" s="60"/>
      <c r="B70" s="60"/>
      <c r="C70" s="60"/>
      <c r="D70" s="60"/>
      <c r="E70" s="60"/>
      <c r="F70" s="60"/>
      <c r="G70" s="60"/>
      <c r="H70" s="60"/>
    </row>
    <row r="71" spans="1:13" x14ac:dyDescent="0.25">
      <c r="B71" s="69"/>
      <c r="C71" s="69"/>
      <c r="D71" s="69"/>
      <c r="E71" s="69"/>
      <c r="F71" s="69"/>
      <c r="G71" s="69"/>
      <c r="H71" s="69"/>
    </row>
    <row r="72" spans="1:13" x14ac:dyDescent="0.25">
      <c r="A72" s="62"/>
      <c r="B72" s="62"/>
      <c r="C72" s="62"/>
      <c r="D72" s="62"/>
      <c r="E72" s="62"/>
      <c r="F72" s="62"/>
      <c r="G72" s="62"/>
      <c r="H72" s="62"/>
    </row>
    <row r="73" spans="1:13" x14ac:dyDescent="0.25">
      <c r="A73" s="46"/>
      <c r="B73" s="46"/>
      <c r="C73" s="46"/>
      <c r="D73" s="46"/>
      <c r="E73" s="46"/>
      <c r="F73" s="46"/>
      <c r="G73" s="46"/>
      <c r="H73" s="46"/>
    </row>
    <row r="74" spans="1:13" x14ac:dyDescent="0.25">
      <c r="A74" s="46"/>
      <c r="B74" s="46"/>
      <c r="C74" s="46"/>
      <c r="D74" s="46"/>
      <c r="E74" s="46"/>
      <c r="F74" s="46"/>
      <c r="G74" s="46"/>
      <c r="H74" s="46"/>
    </row>
    <row r="75" spans="1:13" x14ac:dyDescent="0.25">
      <c r="D75" s="46"/>
      <c r="E75" s="46"/>
      <c r="F75" s="46"/>
      <c r="G75" s="46"/>
      <c r="H75" s="46"/>
    </row>
    <row r="76" spans="1:13" ht="30" customHeight="1" x14ac:dyDescent="0.25"/>
    <row r="77" spans="1:13" x14ac:dyDescent="0.25">
      <c r="A77" s="26"/>
      <c r="B77" s="26"/>
      <c r="C77" s="26"/>
      <c r="D77" s="26"/>
      <c r="E77" s="26"/>
      <c r="F77" s="26"/>
      <c r="G77" s="26"/>
      <c r="H77" s="26"/>
    </row>
  </sheetData>
  <mergeCells count="70">
    <mergeCell ref="C32:H32"/>
    <mergeCell ref="C33:H33"/>
    <mergeCell ref="A28:B28"/>
    <mergeCell ref="A29:B29"/>
    <mergeCell ref="A30:B30"/>
    <mergeCell ref="A31:B31"/>
    <mergeCell ref="C28:H28"/>
    <mergeCell ref="C29:H29"/>
    <mergeCell ref="C30:H30"/>
    <mergeCell ref="C31:H31"/>
    <mergeCell ref="A23:B23"/>
    <mergeCell ref="C23:H23"/>
    <mergeCell ref="A10:B10"/>
    <mergeCell ref="A20:H20"/>
    <mergeCell ref="A19:H19"/>
    <mergeCell ref="A22:B22"/>
    <mergeCell ref="C22:H22"/>
    <mergeCell ref="A4:B4"/>
    <mergeCell ref="C4:H4"/>
    <mergeCell ref="A5:B5"/>
    <mergeCell ref="C5:H5"/>
    <mergeCell ref="A6:B6"/>
    <mergeCell ref="A42:H42"/>
    <mergeCell ref="A40:H40"/>
    <mergeCell ref="A38:H38"/>
    <mergeCell ref="A36:H36"/>
    <mergeCell ref="A24:B24"/>
    <mergeCell ref="A25:B25"/>
    <mergeCell ref="A26:B26"/>
    <mergeCell ref="A27:B27"/>
    <mergeCell ref="A34:B34"/>
    <mergeCell ref="A32:B32"/>
    <mergeCell ref="A33:B33"/>
    <mergeCell ref="C34:H34"/>
    <mergeCell ref="C24:H24"/>
    <mergeCell ref="C25:H25"/>
    <mergeCell ref="C26:H26"/>
    <mergeCell ref="C27:H27"/>
    <mergeCell ref="A1:H1"/>
    <mergeCell ref="A13:H13"/>
    <mergeCell ref="A17:H17"/>
    <mergeCell ref="A2:H2"/>
    <mergeCell ref="C6:H6"/>
    <mergeCell ref="C7:H7"/>
    <mergeCell ref="A8:B8"/>
    <mergeCell ref="C8:H8"/>
    <mergeCell ref="C9:H9"/>
    <mergeCell ref="C10:H10"/>
    <mergeCell ref="A12:H12"/>
    <mergeCell ref="A3:B3"/>
    <mergeCell ref="C3:H3"/>
    <mergeCell ref="A7:B7"/>
    <mergeCell ref="A15:H15"/>
    <mergeCell ref="A9:B9"/>
    <mergeCell ref="A44:H44"/>
    <mergeCell ref="A48:H48"/>
    <mergeCell ref="A53:H53"/>
    <mergeCell ref="A57:H57"/>
    <mergeCell ref="A59:H59"/>
    <mergeCell ref="A49:H49"/>
    <mergeCell ref="A46:H46"/>
    <mergeCell ref="A51:H51"/>
    <mergeCell ref="A55:H55"/>
    <mergeCell ref="F67:H67"/>
    <mergeCell ref="F61:H61"/>
    <mergeCell ref="A61:C61"/>
    <mergeCell ref="A65:C66"/>
    <mergeCell ref="F66:H66"/>
    <mergeCell ref="A67:C67"/>
    <mergeCell ref="F65:H65"/>
  </mergeCells>
  <printOptions horizontalCentered="1"/>
  <pageMargins left="0.53125" right="0.31496062992125984" top="1.5" bottom="0.90187499999999998" header="0.35433070866141736" footer="0.19791666666666666"/>
  <pageSetup scale="88" fitToWidth="2" fitToHeight="2" orientation="portrait" r:id="rId1"/>
  <headerFooter>
    <oddHeader>&amp;C&amp;G</oddHeader>
    <oddFooter>&amp;C&amp;G
Página &amp;P de &amp;N&amp;RContrato</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Datos</vt:lpstr>
      <vt:lpstr>Est Prev</vt:lpstr>
      <vt:lpstr>Res Aper</vt:lpstr>
      <vt:lpstr>Invitación</vt:lpstr>
      <vt:lpstr>RecepProp</vt:lpstr>
      <vt:lpstr>ActaCierre</vt:lpstr>
      <vt:lpstr>Evaluación</vt:lpstr>
      <vt:lpstr>Res Adjud</vt:lpstr>
      <vt:lpstr>Contrato</vt:lpstr>
      <vt:lpstr>ReciboSatis</vt:lpstr>
      <vt:lpstr>ActaLiquida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beatriz</cp:lastModifiedBy>
  <cp:lastPrinted>2020-05-13T20:06:02Z</cp:lastPrinted>
  <dcterms:created xsi:type="dcterms:W3CDTF">2015-09-11T21:46:17Z</dcterms:created>
  <dcterms:modified xsi:type="dcterms:W3CDTF">2020-07-25T17:25:12Z</dcterms:modified>
</cp:coreProperties>
</file>