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120" windowWidth="19200" windowHeight="6645" tabRatio="922" activeTab="4"/>
  </bookViews>
  <sheets>
    <sheet name="Datos" sheetId="1" r:id="rId1"/>
    <sheet name="Est Prev" sheetId="2" r:id="rId2"/>
    <sheet name="Res Adjud" sheetId="8" r:id="rId3"/>
    <sheet name="Contrato" sheetId="10" r:id="rId4"/>
    <sheet name="ActaLiquida" sheetId="12" r:id="rId5"/>
    <sheet name="REC. SAT.abril" sheetId="13" r:id="rId6"/>
    <sheet name="REC. SAT.mayo)" sheetId="14" r:id="rId7"/>
    <sheet name="Hoja1" sheetId="15" r:id="rId8"/>
  </sheets>
  <calcPr calcId="152511"/>
</workbook>
</file>

<file path=xl/calcChain.xml><?xml version="1.0" encoding="utf-8"?>
<calcChain xmlns="http://schemas.openxmlformats.org/spreadsheetml/2006/main">
  <c r="H10" i="1" l="1"/>
  <c r="A12" i="8" l="1"/>
  <c r="A13" i="10" l="1"/>
  <c r="A52" i="10"/>
  <c r="J65" i="1"/>
  <c r="J63" i="1" s="1"/>
  <c r="A48" i="10" l="1"/>
  <c r="A6" i="8"/>
  <c r="A34" i="2"/>
  <c r="A14" i="2"/>
  <c r="A11" i="2"/>
  <c r="A12" i="2"/>
  <c r="A13" i="2"/>
  <c r="A15" i="2"/>
  <c r="A16" i="2"/>
  <c r="A17" i="2"/>
  <c r="A18" i="2"/>
  <c r="A19" i="2"/>
  <c r="A20" i="2"/>
  <c r="A21" i="2"/>
  <c r="A22" i="2"/>
  <c r="A23" i="2"/>
  <c r="A4" i="2"/>
  <c r="H13" i="1" l="1"/>
  <c r="H12" i="1"/>
  <c r="H9" i="1"/>
  <c r="I16" i="1" l="1"/>
  <c r="I18" i="1" s="1"/>
  <c r="H11" i="1" s="1"/>
  <c r="A58" i="10" l="1"/>
  <c r="A24" i="10" l="1"/>
  <c r="A25" i="10"/>
  <c r="A26" i="10"/>
  <c r="A27" i="10"/>
  <c r="A28" i="10"/>
  <c r="A29" i="10"/>
  <c r="A30" i="10"/>
  <c r="A31" i="10"/>
  <c r="A32" i="10"/>
  <c r="A33" i="10"/>
  <c r="A34" i="10"/>
  <c r="A35" i="10"/>
  <c r="A36" i="10"/>
  <c r="A37" i="10"/>
  <c r="A38" i="10"/>
  <c r="A39" i="10"/>
  <c r="A40" i="10"/>
  <c r="A41" i="10"/>
  <c r="A42" i="10"/>
  <c r="A43" i="10"/>
  <c r="A44" i="10"/>
  <c r="A24" i="2" l="1"/>
  <c r="A25" i="2"/>
  <c r="A26" i="2"/>
  <c r="A27" i="2"/>
  <c r="A28" i="2"/>
  <c r="A29" i="2"/>
  <c r="A30" i="2"/>
  <c r="A31" i="2"/>
  <c r="A32" i="2"/>
  <c r="S51" i="1" l="1"/>
  <c r="W38" i="1" l="1"/>
  <c r="W58" i="1" s="1"/>
  <c r="V50" i="1"/>
  <c r="T43" i="1"/>
  <c r="V38" i="1"/>
  <c r="V47" i="1" s="1"/>
  <c r="U38" i="1"/>
  <c r="U58" i="1" s="1"/>
  <c r="T38" i="1"/>
  <c r="T45" i="1" s="1"/>
  <c r="S43" i="1"/>
  <c r="S38" i="1"/>
  <c r="S46" i="1" s="1"/>
  <c r="T44" i="1" l="1"/>
  <c r="W51" i="1"/>
  <c r="V46" i="1"/>
  <c r="S49" i="1"/>
  <c r="S45" i="1"/>
  <c r="U45" i="1"/>
  <c r="U49" i="1"/>
  <c r="T48" i="1"/>
  <c r="U48" i="1"/>
  <c r="V49" i="1"/>
  <c r="W43" i="1"/>
  <c r="U43" i="1"/>
  <c r="U57" i="1" s="1"/>
  <c r="U44" i="1"/>
  <c r="V45" i="1"/>
  <c r="W47" i="1"/>
  <c r="S44" i="1"/>
  <c r="T57" i="1"/>
  <c r="V57" i="1"/>
  <c r="T51" i="1"/>
  <c r="T47" i="1"/>
  <c r="S57" i="1"/>
  <c r="S47" i="1"/>
  <c r="T50" i="1"/>
  <c r="T46" i="1"/>
  <c r="U51" i="1"/>
  <c r="U47" i="1"/>
  <c r="V43" i="1"/>
  <c r="V48" i="1"/>
  <c r="V44" i="1"/>
  <c r="W50" i="1"/>
  <c r="W46" i="1"/>
  <c r="T58" i="1"/>
  <c r="V58" i="1"/>
  <c r="S48" i="1"/>
  <c r="S58" i="1"/>
  <c r="S50" i="1"/>
  <c r="T49" i="1"/>
  <c r="U50" i="1"/>
  <c r="U46" i="1"/>
  <c r="V51" i="1"/>
  <c r="W49" i="1"/>
  <c r="W45" i="1"/>
  <c r="W57" i="1"/>
  <c r="W48" i="1"/>
  <c r="W44" i="1"/>
  <c r="D46" i="2" l="1"/>
  <c r="C35" i="1" l="1"/>
  <c r="C27" i="1"/>
  <c r="A15" i="10" s="1"/>
  <c r="C24" i="1"/>
  <c r="C19" i="1"/>
  <c r="J45" i="1" l="1"/>
  <c r="C39" i="1" l="1"/>
  <c r="A46" i="10" s="1"/>
  <c r="A67" i="10" l="1"/>
  <c r="A39" i="12"/>
  <c r="A77" i="10"/>
  <c r="F38" i="12"/>
  <c r="F37" i="12"/>
  <c r="A37" i="12"/>
  <c r="F76" i="10"/>
  <c r="A75" i="10"/>
  <c r="D4" i="12"/>
  <c r="F75" i="10"/>
  <c r="A56" i="10"/>
  <c r="A19" i="10"/>
  <c r="A23" i="8"/>
  <c r="A4" i="8"/>
  <c r="A1" i="8"/>
  <c r="A6" i="2"/>
  <c r="A1" i="10"/>
  <c r="A1" i="2"/>
  <c r="C3" i="10"/>
  <c r="C38" i="1"/>
  <c r="D8" i="12" s="1"/>
  <c r="A69" i="10"/>
  <c r="A26" i="12"/>
  <c r="C23" i="1"/>
  <c r="J12" i="1"/>
  <c r="J10" i="1"/>
  <c r="J9" i="1"/>
  <c r="D5" i="12"/>
  <c r="C4" i="10"/>
  <c r="C36" i="1"/>
  <c r="C43" i="1"/>
  <c r="A12" i="12" s="1"/>
  <c r="AB17" i="1"/>
  <c r="AB18" i="1"/>
  <c r="A28" i="12"/>
  <c r="A17" i="12"/>
  <c r="D7" i="12"/>
  <c r="C8" i="10"/>
  <c r="C6" i="10"/>
  <c r="A23" i="10"/>
  <c r="A22" i="10"/>
  <c r="A10" i="2"/>
  <c r="A2" i="8"/>
  <c r="AB21" i="1"/>
  <c r="AB20" i="1"/>
  <c r="AB19" i="1"/>
  <c r="J11" i="1"/>
  <c r="J53" i="1"/>
  <c r="A2" i="2"/>
  <c r="C10" i="10"/>
  <c r="J13" i="1" l="1"/>
  <c r="C12" i="1" s="1"/>
  <c r="J57" i="1"/>
  <c r="C9" i="10"/>
  <c r="A30" i="12"/>
  <c r="AC17" i="1"/>
  <c r="C9" i="1" s="1"/>
  <c r="D28" i="8"/>
  <c r="K17" i="1" l="1"/>
  <c r="K18" i="1" s="1"/>
  <c r="K19" i="1" s="1"/>
  <c r="C6" i="1"/>
  <c r="N60" i="1"/>
  <c r="C7" i="1"/>
  <c r="W59" i="1"/>
  <c r="C7" i="10"/>
  <c r="D9" i="12"/>
  <c r="A17" i="10" l="1"/>
  <c r="A14" i="8"/>
  <c r="C10" i="1"/>
  <c r="C5" i="10"/>
  <c r="D6" i="12"/>
  <c r="T59" i="1"/>
  <c r="U59" i="1"/>
  <c r="A19" i="8"/>
  <c r="A24" i="12"/>
  <c r="S59" i="1"/>
  <c r="V59" i="1"/>
</calcChain>
</file>

<file path=xl/sharedStrings.xml><?xml version="1.0" encoding="utf-8"?>
<sst xmlns="http://schemas.openxmlformats.org/spreadsheetml/2006/main" count="381" uniqueCount="324">
  <si>
    <t>DATOS PARA EL PROCESO DE COMPRA</t>
  </si>
  <si>
    <t>C3</t>
  </si>
  <si>
    <t>REPRESENTANTE LEGAL</t>
  </si>
  <si>
    <t>C4</t>
  </si>
  <si>
    <t>C.C.</t>
  </si>
  <si>
    <t>C5</t>
  </si>
  <si>
    <t>EXPEDIDA EN:</t>
  </si>
  <si>
    <t>C6</t>
  </si>
  <si>
    <r>
      <t xml:space="preserve">EMPRESA: </t>
    </r>
    <r>
      <rPr>
        <sz val="12"/>
        <color indexed="8"/>
        <rFont val="Arial"/>
        <family val="2"/>
      </rPr>
      <t/>
    </r>
  </si>
  <si>
    <t>C7</t>
  </si>
  <si>
    <t>C.C./NIT:</t>
  </si>
  <si>
    <t>C8</t>
  </si>
  <si>
    <t>APROXIMADO</t>
  </si>
  <si>
    <t>C9</t>
  </si>
  <si>
    <t>C10</t>
  </si>
  <si>
    <t>VALOR PAGADO</t>
  </si>
  <si>
    <t>C11</t>
  </si>
  <si>
    <t>VALOR EN LETRAS</t>
  </si>
  <si>
    <t>RETE IVA 15% REGIMEN COMÚN</t>
  </si>
  <si>
    <t>C12</t>
  </si>
  <si>
    <t>C13</t>
  </si>
  <si>
    <t>FECHA O.COMP:</t>
  </si>
  <si>
    <t>C14</t>
  </si>
  <si>
    <t>VALOR ANTES DE IVA</t>
  </si>
  <si>
    <t>C15</t>
  </si>
  <si>
    <t>FECHA R. CAJA:</t>
  </si>
  <si>
    <t>IVA FACTURADO</t>
  </si>
  <si>
    <t>SELECCIÓN DE OFERENTES</t>
  </si>
  <si>
    <t>C16</t>
  </si>
  <si>
    <t xml:space="preserve">Cheque No. </t>
  </si>
  <si>
    <t>VALOR FACTURA CON IVA</t>
  </si>
  <si>
    <t>Oferente No.</t>
  </si>
  <si>
    <t>NOMBRE</t>
  </si>
  <si>
    <t>NIT</t>
  </si>
  <si>
    <t>VALOR</t>
  </si>
  <si>
    <t>FOLIOS</t>
  </si>
  <si>
    <t>REQUISITOS</t>
  </si>
  <si>
    <t>Precio</t>
  </si>
  <si>
    <t>Calidad</t>
  </si>
  <si>
    <t>Calificación</t>
  </si>
  <si>
    <t>Mejor Calificación</t>
  </si>
  <si>
    <t>C17</t>
  </si>
  <si>
    <t>FECHA LIQUIDACIÓN</t>
  </si>
  <si>
    <t>VALOR EXCENTO DE IVA</t>
  </si>
  <si>
    <t>C18</t>
  </si>
  <si>
    <t>FACTURA</t>
  </si>
  <si>
    <t>C19</t>
  </si>
  <si>
    <t>C20</t>
  </si>
  <si>
    <t>VALOR ESTUDIOS PREVIOS</t>
  </si>
  <si>
    <t>C21</t>
  </si>
  <si>
    <t>PLAZO:</t>
  </si>
  <si>
    <t>C22</t>
  </si>
  <si>
    <t>C23</t>
  </si>
  <si>
    <t>FECHA ESTUDIOS PREVIOS</t>
  </si>
  <si>
    <t>PRESENTACIÓN DE LA PROPUESTA ECONÓMICA Y CUMPLIMIENTO DE LAS ESPECIFICACIONES TÉCNICAS</t>
  </si>
  <si>
    <t>C24</t>
  </si>
  <si>
    <t>Detalle</t>
  </si>
  <si>
    <t>Oferente 1</t>
  </si>
  <si>
    <t>Oferente 2</t>
  </si>
  <si>
    <t>Oferente 3</t>
  </si>
  <si>
    <t>Oferente 4</t>
  </si>
  <si>
    <t>Oferente 5</t>
  </si>
  <si>
    <t>C25</t>
  </si>
  <si>
    <t>Oferta económica de los bienes y/o servicios según las especificaciones técnicas exigidas por la Institución</t>
  </si>
  <si>
    <t>C26</t>
  </si>
  <si>
    <t>Fecha Disponibilidad</t>
  </si>
  <si>
    <t>C27</t>
  </si>
  <si>
    <t>C28</t>
  </si>
  <si>
    <t>REGIMEN COMUN</t>
  </si>
  <si>
    <t>REQUISITOS HABILITANTES</t>
  </si>
  <si>
    <t>C29</t>
  </si>
  <si>
    <t>SERVICIO</t>
  </si>
  <si>
    <t>DETALLE</t>
  </si>
  <si>
    <t>C30</t>
  </si>
  <si>
    <t>C31</t>
  </si>
  <si>
    <t>Copia de Registro Único Tributario (RUT)</t>
  </si>
  <si>
    <t>C32</t>
  </si>
  <si>
    <t>C33</t>
  </si>
  <si>
    <t>C34</t>
  </si>
  <si>
    <t>C35</t>
  </si>
  <si>
    <t>CRONOGRAMA</t>
  </si>
  <si>
    <t>C36</t>
  </si>
  <si>
    <t>Etapa</t>
  </si>
  <si>
    <t>Trámites  Necesarios</t>
  </si>
  <si>
    <t>Términos</t>
  </si>
  <si>
    <t>C37</t>
  </si>
  <si>
    <t xml:space="preserve">Realizar los Estudios Previos: Definición  de  las condiciones  técnicas, valor estimado del contrato, plazo para la adquisición del bien o servicio, certificado de disponibilidad.  </t>
  </si>
  <si>
    <t>CRITERIOS DE EVALUACIÓN Y CALIFICACIÓN</t>
  </si>
  <si>
    <t>Criterio de Evaluación</t>
  </si>
  <si>
    <t>Puntaje Máximo</t>
  </si>
  <si>
    <t>Calificación económica (Menor precio)</t>
  </si>
  <si>
    <t>Total</t>
  </si>
  <si>
    <t>Recepción de propuestas.</t>
  </si>
  <si>
    <t>Desfije de publicación.</t>
  </si>
  <si>
    <t>Verificación de  requisitos  habilitantes y demás parámetros establecidos en la invitación.</t>
  </si>
  <si>
    <t>Recepción de observaciones al informe de evaluación.</t>
  </si>
  <si>
    <t>Recepción de observaciones</t>
  </si>
  <si>
    <t>Respuesta  a las  observaciones del informe de evaluación.</t>
  </si>
  <si>
    <t>Respuesta  a  observaciones</t>
  </si>
  <si>
    <t>Resolución  declaratoria  desierta</t>
  </si>
  <si>
    <t>Aceptación de la Oferta y Firma del Contrato</t>
  </si>
  <si>
    <t>CONSIDERANDO</t>
  </si>
  <si>
    <t>RESUELVE</t>
  </si>
  <si>
    <t>Estudios Previos</t>
  </si>
  <si>
    <t>Definición de  la  ubicación  física  en  dónde  se  prestará  el  servicio o se recibirá el bien.</t>
  </si>
  <si>
    <t>Invitación Pública</t>
  </si>
  <si>
    <t>Invitación pública en cartelera.</t>
  </si>
  <si>
    <t>Requisitos  habilitantes y metodología a seguir.</t>
  </si>
  <si>
    <t>Resolución Rectoral Apertura.</t>
  </si>
  <si>
    <t>Acta de Cierre y Apertura de sobres.</t>
  </si>
  <si>
    <t>Cierre de invitación, Acta de Cierre y Apertura de sobres.</t>
  </si>
  <si>
    <t>Evaluación y Publicación  del informe de evaluación.</t>
  </si>
  <si>
    <t>Subsanar Documentos</t>
  </si>
  <si>
    <t>Documentación</t>
  </si>
  <si>
    <t>Resolución Rectoral e Invitación Pública</t>
  </si>
  <si>
    <t>Acta de Recepción</t>
  </si>
  <si>
    <t>Acta de Cierre</t>
  </si>
  <si>
    <t>Evaluación de Oferentes</t>
  </si>
  <si>
    <t>Contrato</t>
  </si>
  <si>
    <t>OBJETO COMPRA O SERVICIO:</t>
  </si>
  <si>
    <t>RETENCIÓN</t>
  </si>
  <si>
    <t>CERTIFICADO DISPONIBILIDAD</t>
  </si>
  <si>
    <t>Evaluación de cada oferente y Publicación  informe de evaluación.</t>
  </si>
  <si>
    <t>Adjudicación  o  Declaratoria  Desierta.</t>
  </si>
  <si>
    <t>Suscripción del  Contrato</t>
  </si>
  <si>
    <t xml:space="preserve">Resolución  de  adjudicación y Notificación </t>
  </si>
  <si>
    <t>VALOR EST PREV EN LETRAS</t>
  </si>
  <si>
    <t>COMUNÍQUESE Y CÚMPLASE.</t>
  </si>
  <si>
    <r>
      <t xml:space="preserve">Resolución de Adjudicación o de Declaración Desierta. </t>
    </r>
    <r>
      <rPr>
        <sz val="10"/>
        <color indexed="10"/>
        <rFont val="Calibri"/>
        <family val="2"/>
      </rPr>
      <t xml:space="preserve">Compromiso de Tesorería. </t>
    </r>
  </si>
  <si>
    <t>CANTIDADES</t>
  </si>
  <si>
    <t>Requerimiento  a  proponentes  para  subsanar inconsistencias (1 día)</t>
  </si>
  <si>
    <t>El contratante</t>
  </si>
  <si>
    <t>El contratista</t>
  </si>
  <si>
    <t xml:space="preserve">Entre los suscritos </t>
  </si>
  <si>
    <t>FECHA RECIBO A SATISFACCIÓN</t>
  </si>
  <si>
    <t>CONTRATO</t>
  </si>
  <si>
    <t>CONTRATANTE</t>
  </si>
  <si>
    <t>CONTRATISTA</t>
  </si>
  <si>
    <t>OBJETO</t>
  </si>
  <si>
    <t>FECHA INICIO</t>
  </si>
  <si>
    <t>FECHA TERMINACIÓN</t>
  </si>
  <si>
    <t>DIRECCIÓN CONTRATISTA</t>
  </si>
  <si>
    <t>TELÉFONO</t>
  </si>
  <si>
    <t>EMAIL</t>
  </si>
  <si>
    <t>CONSIDERACIONES</t>
  </si>
  <si>
    <r>
      <rPr>
        <b/>
        <sz val="11"/>
        <color indexed="8"/>
        <rFont val="Calibri"/>
        <family val="2"/>
      </rPr>
      <t>SEGUNDO:</t>
    </r>
    <r>
      <rPr>
        <sz val="11"/>
        <color theme="1"/>
        <rFont val="Calibri"/>
        <family val="2"/>
        <scheme val="minor"/>
      </rPr>
      <t xml:space="preserve"> Que el contratista ha dado cumplimiento a lo descrito en el contrato. Por lo anterior</t>
    </r>
  </si>
  <si>
    <t>ACUERDAN</t>
  </si>
  <si>
    <t>C38</t>
  </si>
  <si>
    <t>PLAZO ENTREGA CONTRATISTA (días)</t>
  </si>
  <si>
    <t xml:space="preserve">CONTRATANTE:                 </t>
  </si>
  <si>
    <t xml:space="preserve">CONTRATISTA:    </t>
  </si>
  <si>
    <t xml:space="preserve">OBJETO DEL CONTRATO: </t>
  </si>
  <si>
    <t xml:space="preserve">VALOR DEL CONTRATO:
</t>
  </si>
  <si>
    <t xml:space="preserve">FECHA DE INICIO: </t>
  </si>
  <si>
    <t>FECHA DE TERMINACIÓN:</t>
  </si>
  <si>
    <t>FECHA LIQUIDACIÓN CONTRATO</t>
  </si>
  <si>
    <t xml:space="preserve">Municipio </t>
  </si>
  <si>
    <t>0</t>
  </si>
  <si>
    <t>COMPRABANTE DE EGRESO</t>
  </si>
  <si>
    <t>NA</t>
  </si>
  <si>
    <t>CONSECUTIVO</t>
  </si>
  <si>
    <t>CONSECUTIVO DEL SISTEMA</t>
  </si>
  <si>
    <t>COMPROMISO PRESUPUESTAL</t>
  </si>
  <si>
    <t>DISPONIBILIDAD PRESUPUESTAL</t>
  </si>
  <si>
    <t>EL VALOR DE LA DISPONIBILIDAD</t>
  </si>
  <si>
    <t>CC</t>
  </si>
  <si>
    <t>Valor Retenido</t>
  </si>
  <si>
    <t>Valor Pagado</t>
  </si>
  <si>
    <t>Valor Ejecutado</t>
  </si>
  <si>
    <t>DESDE LA FECHA DE LA FACTURA HASTA LA FECHA DEL COMPROBANTE DE EGRESO</t>
  </si>
  <si>
    <t>DATOS</t>
  </si>
  <si>
    <t>EL VALOR DE LA DISPONIBILIDAD EN LETRAS</t>
  </si>
  <si>
    <t>MEDELLÍN</t>
  </si>
  <si>
    <t xml:space="preserve">ESTUDIOS PREVIOS No. EP. </t>
  </si>
  <si>
    <t xml:space="preserve">INVITACIÓN PÚBLICA No. IP. </t>
  </si>
  <si>
    <t xml:space="preserve">CONTRATO No. C. </t>
  </si>
  <si>
    <t xml:space="preserve">RESOLUCIÓN DE APERTURA No. RAP.  </t>
  </si>
  <si>
    <t xml:space="preserve">RESOLUCIÓN DE  ADJUDICACIÓN No. RAC.  </t>
  </si>
  <si>
    <t xml:space="preserve">1. Que el Artículo 2.3.1.6.3.6 Numeral 4, del Decreto 1075 del 2015,  establece que será competencia de la Rectoría: “Celebrar los contratos, suscribir los actos administrativos y ordenar los gastos con cargo a los recursos del Fondo de Servicios Educativos, de acuerdo con el flujo de caja y el plan operativo de la respectiva vigencia fiscal, previa disponibilidad presupuestal y de tesorería."
</t>
  </si>
  <si>
    <r>
      <t>CUARTA. SUSPENCIÓN Y LIQUIDACIÓN:</t>
    </r>
    <r>
      <rPr>
        <b/>
        <sz val="10"/>
        <color indexed="8"/>
        <rFont val="Calibri"/>
        <family val="2"/>
      </rPr>
      <t xml:space="preserve"> </t>
    </r>
    <r>
      <rPr>
        <sz val="10"/>
        <color indexed="8"/>
        <rFont val="Calibri"/>
        <family val="2"/>
      </rPr>
      <t xml:space="preserve">El presente contrato podrá suspenderse o liquidarse dentro del término de  ejecución,  por circunstancias de fuerza mayor o caso fortuito, cesando las obligaciones reciprocas entre las partes.--------------------------
</t>
    </r>
    <r>
      <rPr>
        <b/>
        <sz val="11"/>
        <color indexed="8"/>
        <rFont val="Calibri"/>
        <family val="2"/>
      </rPr>
      <t/>
    </r>
  </si>
  <si>
    <t>SÉPTIMA. FONDOS Y APROPIACIONES PRESUPUESTALES: El CONTRATANTE atenderá los pagos del presente contrato, con recursos del  Fondo de Servicios Educativos de la Institución y que están dentro de su presupuesto.-----------------------------------------------</t>
  </si>
  <si>
    <r>
      <t>OCTAVA. APLICACIÓN DE LA LEY GENERAL DE CONTRATACIÓN:</t>
    </r>
    <r>
      <rPr>
        <b/>
        <sz val="10"/>
        <color indexed="8"/>
        <rFont val="Calibri"/>
        <family val="2"/>
      </rPr>
      <t xml:space="preserve"> </t>
    </r>
    <r>
      <rPr>
        <sz val="10"/>
        <color indexed="8"/>
        <rFont val="Calibri"/>
        <family val="2"/>
      </rPr>
      <t xml:space="preserve">En materia de caducidad, declaratoria de incumplimiento, terminación, modificación e interpretación unilaterales, inhabilidades e incompatibilidades, cesión del contrato, se dará cumplimiento a la Ley 80 de 1993 y sus Decretos reglamentarios.---------------------------------------------------------------------------------
</t>
    </r>
    <r>
      <rPr>
        <b/>
        <sz val="10"/>
        <color indexed="8"/>
        <rFont val="Calibri"/>
        <family val="2"/>
      </rPr>
      <t/>
    </r>
  </si>
  <si>
    <t>ACTA DE LIQUIDACIÓN</t>
  </si>
  <si>
    <t>VIGENCIA (INICIO Y TEMINACIÓN)</t>
  </si>
  <si>
    <t>Acuerdo del Consejo</t>
  </si>
  <si>
    <t>Nombre I.E.</t>
  </si>
  <si>
    <t>Rector (a)</t>
  </si>
  <si>
    <t>Dirección</t>
  </si>
  <si>
    <t>Teléfono</t>
  </si>
  <si>
    <t>mismo día de la disponibilidad</t>
  </si>
  <si>
    <t>un día después de los estudios previos</t>
  </si>
  <si>
    <t>el mismo día de cierre de invitaciones</t>
  </si>
  <si>
    <t>1 un día después de evaluación y publicación</t>
  </si>
  <si>
    <t>1 un día después de recepción de observaciones</t>
  </si>
  <si>
    <t>1 después de respuesta a observaciones</t>
  </si>
  <si>
    <t>después de adjudicación PERO no puede ser inferior al compromiso</t>
  </si>
  <si>
    <t>DURACIÓN DEL CONTRATO (DÍAS ENTRE COMPROMISO Y EGRESO)</t>
  </si>
  <si>
    <t>DURACIÓN DE ENTREGA</t>
  </si>
  <si>
    <t>NOVENA. INHABILIDADES E INCOMPATIBILIDADES: El CONTRATISTA declara bajo la gravedad de juramento, que se entiende prestado con la firma del presente instrumento,  que no se encuentra incurso en ninguna de las  causales de inhabilidad e incompatibilidad contempladas en la constitución y la ley.---------------------------------------------------------</t>
  </si>
  <si>
    <t>Establecer la necesidad teniendo encuentra el presupuesto.</t>
  </si>
  <si>
    <t>hasta 2 días después de la invitación publica</t>
  </si>
  <si>
    <t>1 día después del cierre de invitación</t>
  </si>
  <si>
    <t>C39</t>
  </si>
  <si>
    <t>METODOLOGÍA DE ESTUDIO DE MERCADO</t>
  </si>
  <si>
    <t>EXLPLICAR CÓMO SE REALIZÓ EL ESTUDIO DE MERCADO</t>
  </si>
  <si>
    <t>DESCRIPCIÓN DE LA NECESIDAD:</t>
  </si>
  <si>
    <t>¿Qué?</t>
  </si>
  <si>
    <t>¿Para qué?</t>
  </si>
  <si>
    <t>¿Cómo?</t>
  </si>
  <si>
    <t>¿Cuándo?</t>
  </si>
  <si>
    <t>¿Beneficiados?</t>
  </si>
  <si>
    <t>Objeto comprado y/o Servicio Prestado</t>
  </si>
  <si>
    <t>Motivo para realizar la compra y/o contratar el servicio</t>
  </si>
  <si>
    <t>Cómo se entrega el objeto o  se desarrolla el servicio</t>
  </si>
  <si>
    <t>En qué tiempo se entrega el objeto o desarrolla el servicio y cuánto dura</t>
  </si>
  <si>
    <t>Quién sale beneficiado con la compra de este objeto o el desarrollo del servicio</t>
  </si>
  <si>
    <t>INFORMACIÓN DE LA PROPUESTA ECONÓMICA</t>
  </si>
  <si>
    <t>INFORMACIÓN DE LA COTIZACIÓN</t>
  </si>
  <si>
    <t>70%</t>
  </si>
  <si>
    <t>30%</t>
  </si>
  <si>
    <t>Fotocopia de la cédula del contratista o representante legal.</t>
  </si>
  <si>
    <t>Certificado de antecedentes de la procuraduría no mayor a 3 meses.</t>
  </si>
  <si>
    <t>Certificado de antecedentes de la contraloría no mayor a 3 meses.</t>
  </si>
  <si>
    <t xml:space="preserve">Certificado de antecedentes judiciales (Policía) no mayor a  3 meses. </t>
  </si>
  <si>
    <t>Certificado de medidas correctivas (RNMC).</t>
  </si>
  <si>
    <t>Certificado de paz y salvo en aportes al Sistema de Seguridad Social (para contratos de bienes y/o servicios) del proponente y sus empleados o copia del pago de SEGURIDAD SOCIAL.</t>
  </si>
  <si>
    <t>Certificado de alturas (cuando sea requerido).</t>
  </si>
  <si>
    <t>C40</t>
  </si>
  <si>
    <t>TRANSPORTE</t>
  </si>
  <si>
    <t>C41</t>
  </si>
  <si>
    <t>ALTURAS</t>
  </si>
  <si>
    <t>C42</t>
  </si>
  <si>
    <t>CÁMARA DE COMERCIO</t>
  </si>
  <si>
    <t>VALOR UNITARIO</t>
  </si>
  <si>
    <t>Certificado  de Existencia y Representación Legal  o Registro Mercantil (Cámara de Comercio) no mayor a 3 meses (Si el proponente cuenta con este certificado lo puede anexar, de lo contrario si no lo aporta no es causal de rechazo y puede seguir en el proceso).</t>
  </si>
  <si>
    <t>Recepción de propuestas, en rectoría o secretaría de 10:00 a. m. a 2:00 p. m., en sobre cerrado.</t>
  </si>
  <si>
    <t>SUPERVISIÓN DEL CONTRATO: Durante la ejecución del contrato, la supervisión del mismo estará a cargo de la rectoría.</t>
  </si>
  <si>
    <t>Solicitará al CONTRATISTA la información y los documentos que considere necesarios en relación con el desarrollo del mismo.------</t>
  </si>
  <si>
    <t>COMPRA</t>
  </si>
  <si>
    <t>C43</t>
  </si>
  <si>
    <t>C44</t>
  </si>
  <si>
    <t>C45</t>
  </si>
  <si>
    <t>C46</t>
  </si>
  <si>
    <t>SERVICIO DE TRANSPORTE</t>
  </si>
  <si>
    <t>HONORARIOS</t>
  </si>
  <si>
    <t>C47</t>
  </si>
  <si>
    <t>SOFTWARE ACADÉMICO</t>
  </si>
  <si>
    <t>CONTRATO DE OBRA</t>
  </si>
  <si>
    <t>BASE EN PESOS</t>
  </si>
  <si>
    <t>% DE RETENCIÓN DECLARANTES</t>
  </si>
  <si>
    <t>% RETENCIÓN NO DECLARANTES</t>
  </si>
  <si>
    <t>CONTRIBUCIÓN ESPECIAL</t>
  </si>
  <si>
    <t>COMPRAS: Común y Simplificado</t>
  </si>
  <si>
    <t xml:space="preserve">SERVICIOS: Común y Simplificado </t>
  </si>
  <si>
    <t>TRANSPORTE; SOFTWARE y HONORARIOS</t>
  </si>
  <si>
    <t>CONTRIBUCIÓN ESPECIAL y CONTRATO DE OBRA</t>
  </si>
  <si>
    <r>
      <rPr>
        <sz val="11"/>
        <color indexed="8"/>
        <rFont val="Calibri"/>
        <family val="2"/>
      </rPr>
      <t>ESPECIFICACIONES TÉCNICAS</t>
    </r>
    <r>
      <rPr>
        <b/>
        <sz val="11"/>
        <color indexed="8"/>
        <rFont val="Calibri"/>
        <family val="2"/>
      </rPr>
      <t>:</t>
    </r>
    <r>
      <rPr>
        <sz val="11"/>
        <color theme="1"/>
        <rFont val="Calibri"/>
        <family val="2"/>
        <scheme val="minor"/>
      </rPr>
      <t xml:space="preserve"> A continuación se detalla la cantidad y el tipo de servicio requerido por la Institución.</t>
    </r>
  </si>
  <si>
    <t>Revisión mensual de las declaraciones de retención en la fuente.</t>
  </si>
  <si>
    <t>Verificar que los valores retenidos a los diferentes proveedores sean los contemplados en la norma contable.</t>
  </si>
  <si>
    <t>Revisión de los estados financieros y firma de dichos estados financieros.</t>
  </si>
  <si>
    <t>Revisión y análisis de las ejecuciones presupuestales mes a mes.</t>
  </si>
  <si>
    <t>Revisión de las conciliaciones bancarias mes a mes.</t>
  </si>
  <si>
    <t>Análisis de las disponibilidades presupuestales mensuales.</t>
  </si>
  <si>
    <t>Presentación de las ejecuciones presupuestales al Consejo Directivo.</t>
  </si>
  <si>
    <t>Rendición de las cuentas en audiencia pública antes del 28 de Febrero de 2019.</t>
  </si>
  <si>
    <t>Dar Fe Pública.</t>
  </si>
  <si>
    <t>Revisión de equilibrio presupuestal mes a mes.</t>
  </si>
  <si>
    <t>Asesoría personalizada al ordenador del gasto y al Consejo Directivo.</t>
  </si>
  <si>
    <t>Todas las actividades que implican organización, revisión y control de contabilidades, certificación y dictámenes, sobre los estados financieros, certificaciones que se expidan con fundamento en libros de contabilidad, revisoría fiscal, prestación de servicio de auditoría, así como todas las actividades conexas con la naturaleza de la función profesional de contador público, tales como la: la asesoría tributaria, la asesoría gerencial, en aspectos contables y similares.</t>
  </si>
  <si>
    <t>Capacitación a los Consejos Directivos cuando los rectores lo soliciten.</t>
  </si>
  <si>
    <t>Capacitación a los docentes sobre el manejo de los Fondos de Servicios Educativos.</t>
  </si>
  <si>
    <t>Certificaciones que se expidan con fundamentos en los libros de contabilidad.</t>
  </si>
  <si>
    <t>Auditoria</t>
  </si>
  <si>
    <t>Manual de procedimiento de tesorería</t>
  </si>
  <si>
    <t>Preparar la información necesaria para el cumplimiento de las obligaciones tributarias del establecimiento educativo.</t>
  </si>
  <si>
    <t>Diseñar y emitir los papeles de trabajo que soporten las labores realizadas para emitir su juicio profesional de conformidad con el artículo 9 de la Ley 43 de 1990.</t>
  </si>
  <si>
    <t xml:space="preserve">Se realizaran 2 auditorías en al año sobre el manejo de los fondos </t>
  </si>
  <si>
    <t>Atender los requerimientos que en materia contable soliciten los entes de control.</t>
  </si>
  <si>
    <t>Las demás actividades específicas que se desprendan de las actividades generales, necesarias para el cumplimiento de las normas contables establecidas para los entes públicos.</t>
  </si>
  <si>
    <t xml:space="preserve">ASESORÍA CONTABLE DE FONDOS DE SERVICIOS EDUCATIVOS </t>
  </si>
  <si>
    <t>ASESORÍA DE FONDOS DE SERVICIOS EDUCATIVOS PARA GARANTIZAR EL CORRECTO DESARROLLO CONTABLE Y LA PRESENTACIÓN DE INFORMES A LA SECRETARÍA DE EDUCACIÓN Y LAS DEPENDENCIAS QUE LO REQUIERAN</t>
  </si>
  <si>
    <t>MODALIDAD  DE  CONTRATACIÓN: Se trata de un proceso de contratación directa</t>
  </si>
  <si>
    <t>1. A suministrar  los servicios  que se especifican a continuación, conforme a  la oferta económica presentada por el contratista, la cual  se anexa al presente contrato.------------------------------------</t>
  </si>
  <si>
    <t>SEGUNDA. FORMA DE PAGO:  La institución cancelará el valor del contrato conforme a lo solicitado, hasta dentro de los ocho (8) días hábiles posterior al recibo a satisfacción, mediante cheque girado directamente al contratista, con sello de cruzado y de pago al primer beneficiario o mediante transacción bancaria al contratista, con estricto cumplimiento al certificado de disponibilidad presupuestal expedido por la tesorería.--------------</t>
  </si>
  <si>
    <t>agregar (pesos M/L) Valor del Compromiso</t>
  </si>
  <si>
    <t>(último dìa del mes del contrato)</t>
  </si>
  <si>
    <r>
      <t xml:space="preserve">REQUISITOS  HABILITANTES: </t>
    </r>
    <r>
      <rPr>
        <b/>
        <sz val="11"/>
        <color indexed="8"/>
        <rFont val="Calibri"/>
        <family val="2"/>
      </rPr>
      <t xml:space="preserve"> </t>
    </r>
    <r>
      <rPr>
        <sz val="11"/>
        <color indexed="8"/>
        <rFont val="Calibri"/>
        <family val="2"/>
      </rPr>
      <t xml:space="preserve"> El profesional debe anexar copia de los siguientes documentos.
• Certificado  de Existencia y Representación Legal  o Registro Mercantil (Cámara de Comercio) no mayor a 3 meses (Si el proponente cuenta con este certificado lo puede anexar, de lo contrario si no lo aporta no es causal de rechazo y puede seguir en el proceso).
• Registro Único Tributario (RUT).
• Fotocopia de la cédula del contratista o representante legal.
• Certificado de antecedentes de la procuraduría no mayor a 3 meses.
• Certificado de antecedentes de la contraloría no mayor a 3 meses.
• Certificado de antecedentes judiciales (Policía) no mayor a  3 meses. 
• Certificado de medidas correctivas (RNMC).
• Certificado de paz y salvo en aportes al Sistema de Seguridad Social (para contratos de bienes y/o servicios) del proponente y sus empleados o copia de la planilla de pago de la SEGURIDAD SOCIAL.
• Propuesta debidamente firmada con los datos del proponente y/o papel membrete de la empresa. 
• Hoja de vida Pública
</t>
    </r>
  </si>
  <si>
    <t>INSTITUCIÓN EDUCATIVA JOAQUIN VALLEJO ARBELAEZ</t>
  </si>
  <si>
    <t>CARLOS MARIO GIRALDO JIMENEZ
Rector</t>
  </si>
  <si>
    <t>CARLOS MARIO GIRALDO JIMENEZ</t>
  </si>
  <si>
    <t>71.661.819</t>
  </si>
  <si>
    <t>CARRERA 19 N° 59 C 175</t>
  </si>
  <si>
    <t>292 61 99</t>
  </si>
  <si>
    <t>NELSON LEON MEJIA BILBAO</t>
  </si>
  <si>
    <t>71.669.550</t>
  </si>
  <si>
    <t>Medellin</t>
  </si>
  <si>
    <t>Ocho millones doscientos ochenta mil pesos M/L</t>
  </si>
  <si>
    <t>31 de diciembre de 2020</t>
  </si>
  <si>
    <t>004-2020</t>
  </si>
  <si>
    <t>9 MESES</t>
  </si>
  <si>
    <t>7</t>
  </si>
  <si>
    <t>30 de marzo de 2020</t>
  </si>
  <si>
    <t>no</t>
  </si>
  <si>
    <t>si</t>
  </si>
  <si>
    <t>Cra 40 # 52-170</t>
  </si>
  <si>
    <t>asesorbilbao@hotmail.com</t>
  </si>
  <si>
    <t>71.669.550-1</t>
  </si>
  <si>
    <t xml:space="preserve">INSTITUCIÓN EDUCATIVA JOAQUIN VALLEJO ARBELAEZ </t>
  </si>
  <si>
    <t xml:space="preserve">RECIBIDO A SATISFACCIÓN  </t>
  </si>
  <si>
    <t>EL ORDENADOR CERTIFICA QUE</t>
  </si>
  <si>
    <t xml:space="preserve">NIT: </t>
  </si>
  <si>
    <t>71.669.550 - 1</t>
  </si>
  <si>
    <t>Entregó a plena satisfacción el (los) siguiente(s) artículo(s) o servicio</t>
  </si>
  <si>
    <t>Por un valor de</t>
  </si>
  <si>
    <t>Se expide a solicitud del interesado para efectos del pago</t>
  </si>
  <si>
    <t xml:space="preserve">Dado en MEDELLÍN el día </t>
  </si>
  <si>
    <t>Atentamente</t>
  </si>
  <si>
    <t>RECTOR</t>
  </si>
  <si>
    <t>C.C 71.661.819</t>
  </si>
  <si>
    <t>VIGENCIA 2020</t>
  </si>
  <si>
    <t>ASESORÍA CONTABLE DE FONDO DE SERVICIOS EDUCATIVOS, CORRESPONDIENTE AL MES ABRIL DE 2020</t>
  </si>
  <si>
    <t>30 de abril de 2020</t>
  </si>
  <si>
    <t>ASESORÍA CONTABLE DE FONDO DE SERVICIOS EDUCATIVOS, CORRESPONDIENTE AL MES MAYO DE 2020</t>
  </si>
  <si>
    <t>29 de mayo de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</si>
</sst>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 #,##0.00_);_(&quot;$&quot;\ * \(#,##0.00\);_(&quot;$&quot;\ * &quot;-&quot;??_);_(@_)"/>
    <numFmt numFmtId="165" formatCode="&quot;$&quot;\ #,##0"/>
    <numFmt numFmtId="166" formatCode="[$$-240A]\ #,##0"/>
    <numFmt numFmtId="167" formatCode="_(&quot;$&quot;\ * #,##0_);_(&quot;$&quot;\ * \(#,##0\);_(&quot;$&quot;\ * &quot;-&quot;??_);_(@_)"/>
    <numFmt numFmtId="168" formatCode="&quot;$&quot;#,##0"/>
    <numFmt numFmtId="169" formatCode="[$-F800]dddd\,\ mmmm\ dd\,\ yyyy"/>
  </numFmts>
  <fonts count="53" x14ac:knownFonts="1">
    <font>
      <sz val="11"/>
      <color theme="1"/>
      <name val="Calibri"/>
      <family val="2"/>
      <scheme val="minor"/>
    </font>
    <font>
      <sz val="11"/>
      <color indexed="8"/>
      <name val="Calibri"/>
      <family val="2"/>
    </font>
    <font>
      <b/>
      <sz val="11"/>
      <color indexed="8"/>
      <name val="Calibri"/>
      <family val="2"/>
    </font>
    <font>
      <sz val="12"/>
      <color indexed="8"/>
      <name val="Arial"/>
      <family val="2"/>
    </font>
    <font>
      <sz val="10"/>
      <color indexed="10"/>
      <name val="Calibri"/>
      <family val="2"/>
    </font>
    <font>
      <b/>
      <sz val="10"/>
      <color indexed="8"/>
      <name val="Calibri"/>
      <family val="2"/>
    </font>
    <font>
      <sz val="10"/>
      <color indexed="8"/>
      <name val="Calibri"/>
      <family val="2"/>
    </font>
    <font>
      <sz val="11"/>
      <color theme="1"/>
      <name val="Calibri"/>
      <family val="2"/>
      <scheme val="minor"/>
    </font>
    <font>
      <u/>
      <sz val="11"/>
      <color theme="10"/>
      <name val="Calibri"/>
      <family val="2"/>
      <scheme val="minor"/>
    </font>
    <font>
      <sz val="11"/>
      <color rgb="FFFF0000"/>
      <name val="Calibri"/>
      <family val="2"/>
      <scheme val="minor"/>
    </font>
    <font>
      <b/>
      <sz val="11"/>
      <color theme="1"/>
      <name val="Calibri"/>
      <family val="2"/>
      <scheme val="minor"/>
    </font>
    <font>
      <b/>
      <sz val="10"/>
      <color theme="1"/>
      <name val="Calibri"/>
      <family val="2"/>
      <scheme val="minor"/>
    </font>
    <font>
      <sz val="11"/>
      <color rgb="FFC00000"/>
      <name val="Calibri"/>
      <family val="2"/>
      <scheme val="minor"/>
    </font>
    <font>
      <b/>
      <sz val="11"/>
      <name val="Calibri"/>
      <family val="2"/>
      <scheme val="minor"/>
    </font>
    <font>
      <b/>
      <sz val="11"/>
      <color rgb="FFC00000"/>
      <name val="Calibri"/>
      <family val="2"/>
      <scheme val="minor"/>
    </font>
    <font>
      <sz val="12"/>
      <color theme="1"/>
      <name val="Arial"/>
      <family val="2"/>
    </font>
    <font>
      <b/>
      <sz val="10"/>
      <color rgb="FF000000"/>
      <name val="Arial"/>
      <family val="2"/>
    </font>
    <font>
      <sz val="11"/>
      <color rgb="FF000000"/>
      <name val="Arial"/>
      <family val="2"/>
    </font>
    <font>
      <b/>
      <sz val="12"/>
      <color theme="1"/>
      <name val="Agency FB"/>
      <family val="2"/>
    </font>
    <font>
      <sz val="10"/>
      <color theme="1"/>
      <name val="Calibri"/>
      <family val="2"/>
      <scheme val="minor"/>
    </font>
    <font>
      <sz val="14"/>
      <color theme="1"/>
      <name val="Arial"/>
      <family val="2"/>
    </font>
    <font>
      <sz val="14"/>
      <color theme="1"/>
      <name val="Calibri"/>
      <family val="2"/>
      <scheme val="minor"/>
    </font>
    <font>
      <b/>
      <sz val="11"/>
      <color rgb="FFFF0000"/>
      <name val="Calibri"/>
      <family val="2"/>
      <scheme val="minor"/>
    </font>
    <font>
      <b/>
      <sz val="11"/>
      <color theme="1"/>
      <name val="Arial"/>
      <family val="2"/>
    </font>
    <font>
      <sz val="12"/>
      <color theme="1"/>
      <name val="Calibri"/>
      <family val="2"/>
      <scheme val="minor"/>
    </font>
    <font>
      <sz val="12"/>
      <name val="Calibri"/>
      <family val="2"/>
      <scheme val="minor"/>
    </font>
    <font>
      <b/>
      <sz val="12"/>
      <color theme="1"/>
      <name val="Calibri"/>
      <family val="2"/>
      <scheme val="minor"/>
    </font>
    <font>
      <b/>
      <sz val="10"/>
      <color theme="1"/>
      <name val="Arial"/>
      <family val="2"/>
    </font>
    <font>
      <b/>
      <sz val="12"/>
      <color rgb="FFFF0000"/>
      <name val="Calibri"/>
      <family val="2"/>
      <scheme val="minor"/>
    </font>
    <font>
      <b/>
      <sz val="11"/>
      <color rgb="FF000000"/>
      <name val="Arial"/>
      <family val="2"/>
    </font>
    <font>
      <b/>
      <sz val="11.5"/>
      <color rgb="FF000000"/>
      <name val="Arial"/>
      <family val="2"/>
    </font>
    <font>
      <sz val="10"/>
      <color rgb="FF000000"/>
      <name val="Arial"/>
      <family val="2"/>
    </font>
    <font>
      <sz val="11"/>
      <color rgb="FF000000"/>
      <name val="Calibri"/>
      <family val="2"/>
      <scheme val="minor"/>
    </font>
    <font>
      <b/>
      <sz val="14"/>
      <color theme="1"/>
      <name val="Calibri"/>
      <family val="2"/>
      <scheme val="minor"/>
    </font>
    <font>
      <sz val="11"/>
      <name val="Calibri"/>
      <family val="2"/>
      <scheme val="minor"/>
    </font>
    <font>
      <b/>
      <sz val="14"/>
      <color theme="1"/>
      <name val="Arial"/>
      <family val="2"/>
    </font>
    <font>
      <b/>
      <sz val="11"/>
      <color theme="1"/>
      <name val="Calibri Light"/>
      <family val="2"/>
      <scheme val="major"/>
    </font>
    <font>
      <b/>
      <sz val="12"/>
      <color theme="1"/>
      <name val="Arial"/>
      <family val="2"/>
    </font>
    <font>
      <b/>
      <sz val="9"/>
      <color theme="1"/>
      <name val="Calibri Light"/>
      <family val="2"/>
      <scheme val="major"/>
    </font>
    <font>
      <b/>
      <u/>
      <sz val="10"/>
      <color theme="1"/>
      <name val="Calibri"/>
      <family val="2"/>
      <scheme val="minor"/>
    </font>
    <font>
      <b/>
      <u/>
      <sz val="11"/>
      <color theme="1"/>
      <name val="Calibri"/>
      <family val="2"/>
      <scheme val="minor"/>
    </font>
    <font>
      <b/>
      <u/>
      <sz val="12"/>
      <color theme="1"/>
      <name val="Calibri"/>
      <family val="2"/>
      <scheme val="minor"/>
    </font>
    <font>
      <b/>
      <i/>
      <sz val="11"/>
      <color theme="1"/>
      <name val="Calibri"/>
      <family val="2"/>
      <scheme val="minor"/>
    </font>
    <font>
      <b/>
      <i/>
      <u/>
      <sz val="15"/>
      <color theme="1"/>
      <name val="Calibri"/>
      <family val="2"/>
      <scheme val="minor"/>
    </font>
    <font>
      <b/>
      <sz val="14"/>
      <color theme="1"/>
      <name val="Tahoma"/>
      <family val="2"/>
    </font>
    <font>
      <b/>
      <sz val="11"/>
      <color theme="1"/>
      <name val="Tahoma"/>
      <family val="2"/>
    </font>
    <font>
      <b/>
      <sz val="10"/>
      <color theme="1"/>
      <name val="Tahoma"/>
      <family val="2"/>
    </font>
    <font>
      <b/>
      <sz val="9"/>
      <color theme="1"/>
      <name val="Tahoma"/>
      <family val="2"/>
    </font>
    <font>
      <b/>
      <sz val="12"/>
      <color rgb="FF000000"/>
      <name val="Tahoma"/>
      <family val="2"/>
    </font>
    <font>
      <sz val="12"/>
      <color rgb="FF000000"/>
      <name val="Tahoma"/>
      <family val="2"/>
    </font>
    <font>
      <b/>
      <sz val="10"/>
      <color rgb="FF000000"/>
      <name val="Tahoma"/>
      <family val="2"/>
    </font>
    <font>
      <sz val="11"/>
      <color rgb="FF000000"/>
      <name val="Tahoma"/>
      <family val="2"/>
    </font>
    <font>
      <b/>
      <i/>
      <sz val="12"/>
      <color rgb="FF2A2A2A"/>
      <name val="Tahoma"/>
      <family val="2"/>
    </font>
  </fonts>
  <fills count="13">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rgb="FF33CC33"/>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92D050"/>
        <bgColor indexed="64"/>
      </patternFill>
    </fill>
    <fill>
      <patternFill patternType="solid">
        <fgColor theme="5" tint="0.39997558519241921"/>
        <bgColor indexed="64"/>
      </patternFill>
    </fill>
    <fill>
      <patternFill patternType="solid">
        <fgColor theme="2" tint="-0.499984740745262"/>
        <bgColor indexed="64"/>
      </patternFill>
    </fill>
    <fill>
      <patternFill patternType="solid">
        <fgColor rgb="FFFFFF00"/>
        <bgColor indexed="64"/>
      </patternFill>
    </fill>
    <fill>
      <patternFill patternType="solid">
        <fgColor rgb="FFFF3333"/>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0" fontId="8" fillId="0" borderId="0" applyNumberFormat="0" applyFill="0" applyBorder="0" applyAlignment="0" applyProtection="0"/>
    <xf numFmtId="164" fontId="7" fillId="0" borderId="0" applyFont="0" applyFill="0" applyBorder="0" applyAlignment="0" applyProtection="0"/>
  </cellStyleXfs>
  <cellXfs count="327">
    <xf numFmtId="0" fontId="0" fillId="0" borderId="0" xfId="0"/>
    <xf numFmtId="0" fontId="0" fillId="0" borderId="0" xfId="0" applyAlignment="1"/>
    <xf numFmtId="0" fontId="0" fillId="0" borderId="0" xfId="0" applyFont="1" applyAlignment="1">
      <alignment horizontal="left" vertical="top" wrapText="1"/>
    </xf>
    <xf numFmtId="0" fontId="0" fillId="0" borderId="0" xfId="0" applyAlignment="1">
      <alignment vertical="center" wrapText="1"/>
    </xf>
    <xf numFmtId="0" fontId="19" fillId="0" borderId="0" xfId="0" applyFont="1"/>
    <xf numFmtId="0" fontId="27" fillId="0" borderId="0" xfId="0" applyFont="1" applyBorder="1" applyAlignment="1">
      <alignment vertical="center" wrapText="1"/>
    </xf>
    <xf numFmtId="0" fontId="0" fillId="0" borderId="0" xfId="0" applyAlignment="1">
      <alignment horizontal="left" vertical="top" wrapText="1"/>
    </xf>
    <xf numFmtId="0" fontId="0" fillId="0" borderId="0" xfId="0" applyAlignment="1">
      <alignment horizontal="left" vertical="center" wrapText="1"/>
    </xf>
    <xf numFmtId="0" fontId="10" fillId="0" borderId="0" xfId="0" applyFont="1" applyAlignment="1">
      <alignment horizontal="center" vertical="center" wrapText="1"/>
    </xf>
    <xf numFmtId="0" fontId="0" fillId="0" borderId="0" xfId="0" applyAlignment="1">
      <alignment horizontal="left" vertical="top" wrapText="1"/>
    </xf>
    <xf numFmtId="0" fontId="0" fillId="0" borderId="0" xfId="0" applyAlignment="1">
      <alignment horizontal="center" vertical="center"/>
    </xf>
    <xf numFmtId="0" fontId="10" fillId="0" borderId="0" xfId="0" applyFont="1" applyAlignment="1">
      <alignment horizontal="center" vertical="center" wrapText="1"/>
    </xf>
    <xf numFmtId="0" fontId="19"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vertical="center" wrapText="1"/>
    </xf>
    <xf numFmtId="0" fontId="19" fillId="0" borderId="0" xfId="0" applyFont="1" applyAlignment="1">
      <alignment horizontal="left" vertical="top" wrapText="1"/>
    </xf>
    <xf numFmtId="0" fontId="19" fillId="0" borderId="0" xfId="0" applyFont="1" applyAlignment="1">
      <alignment horizontal="left" wrapText="1"/>
    </xf>
    <xf numFmtId="0" fontId="6" fillId="0" borderId="0" xfId="0" applyFont="1" applyAlignment="1">
      <alignment horizontal="left" vertical="top" wrapText="1"/>
    </xf>
    <xf numFmtId="0" fontId="0" fillId="0" borderId="0" xfId="0" applyAlignment="1">
      <alignment horizontal="justify" vertical="top" wrapText="1"/>
    </xf>
    <xf numFmtId="0" fontId="0" fillId="0" borderId="0" xfId="0" applyFont="1" applyAlignment="1">
      <alignment horizontal="justify" vertical="top" wrapText="1"/>
    </xf>
    <xf numFmtId="0" fontId="19" fillId="0" borderId="0" xfId="0" applyFont="1" applyAlignment="1">
      <alignment horizontal="justify" vertical="top" wrapText="1"/>
    </xf>
    <xf numFmtId="0" fontId="6" fillId="0" borderId="0" xfId="0" applyFont="1" applyAlignment="1">
      <alignment horizontal="justify" vertical="top" wrapText="1"/>
    </xf>
    <xf numFmtId="0" fontId="38" fillId="0" borderId="0" xfId="0" applyFont="1" applyAlignment="1">
      <alignment horizontal="left" wrapText="1"/>
    </xf>
    <xf numFmtId="0" fontId="38" fillId="0" borderId="0" xfId="0" applyFont="1" applyAlignment="1">
      <alignment wrapText="1"/>
    </xf>
    <xf numFmtId="0" fontId="39" fillId="0" borderId="0" xfId="0" applyFont="1" applyAlignment="1">
      <alignment horizontal="left" wrapText="1"/>
    </xf>
    <xf numFmtId="0" fontId="39" fillId="0" borderId="0" xfId="0" applyFont="1" applyAlignment="1">
      <alignment horizontal="left" vertical="top" wrapText="1"/>
    </xf>
    <xf numFmtId="0" fontId="0" fillId="0" borderId="0" xfId="0" applyAlignment="1">
      <alignment wrapText="1"/>
    </xf>
    <xf numFmtId="0" fontId="10" fillId="0" borderId="0" xfId="0" applyFont="1" applyAlignment="1">
      <alignment vertical="center" wrapText="1"/>
    </xf>
    <xf numFmtId="0" fontId="40" fillId="0" borderId="0" xfId="0" applyFont="1" applyAlignment="1">
      <alignment horizontal="left" vertical="center" wrapText="1"/>
    </xf>
    <xf numFmtId="0" fontId="40" fillId="0" borderId="0" xfId="0" applyFont="1" applyAlignment="1">
      <alignment horizontal="left" wrapText="1"/>
    </xf>
    <xf numFmtId="0" fontId="39" fillId="0" borderId="0" xfId="0" applyFont="1" applyAlignment="1">
      <alignment vertical="top" wrapText="1"/>
    </xf>
    <xf numFmtId="0" fontId="39" fillId="0" borderId="0" xfId="0" applyFont="1" applyAlignment="1">
      <alignment wrapText="1"/>
    </xf>
    <xf numFmtId="0" fontId="11" fillId="0" borderId="0" xfId="0" applyFont="1" applyAlignment="1">
      <alignment vertical="center" wrapText="1"/>
    </xf>
    <xf numFmtId="2" fontId="24" fillId="8" borderId="1" xfId="0" applyNumberFormat="1" applyFont="1" applyFill="1" applyBorder="1" applyAlignment="1" applyProtection="1">
      <alignment horizontal="left" vertical="center"/>
      <protection locked="0"/>
    </xf>
    <xf numFmtId="49" fontId="24" fillId="8" borderId="1" xfId="0" applyNumberFormat="1" applyFont="1" applyFill="1" applyBorder="1" applyAlignment="1" applyProtection="1">
      <alignment horizontal="left" vertical="center"/>
      <protection locked="0"/>
    </xf>
    <xf numFmtId="3" fontId="10" fillId="5" borderId="1" xfId="0" applyNumberFormat="1" applyFont="1" applyFill="1" applyBorder="1" applyAlignment="1" applyProtection="1">
      <alignment vertical="center"/>
      <protection locked="0"/>
    </xf>
    <xf numFmtId="0" fontId="24" fillId="8" borderId="1" xfId="0" applyNumberFormat="1" applyFont="1" applyFill="1" applyBorder="1" applyAlignment="1" applyProtection="1">
      <alignment horizontal="left" vertical="center"/>
      <protection locked="0"/>
    </xf>
    <xf numFmtId="3" fontId="0" fillId="5" borderId="1" xfId="0" applyNumberFormat="1" applyFill="1" applyBorder="1" applyProtection="1">
      <protection locked="0"/>
    </xf>
    <xf numFmtId="165" fontId="0" fillId="8" borderId="1" xfId="0" applyNumberFormat="1" applyFill="1" applyBorder="1" applyAlignment="1" applyProtection="1">
      <alignment horizontal="right" vertical="center"/>
      <protection locked="0"/>
    </xf>
    <xf numFmtId="1" fontId="24" fillId="8" borderId="1" xfId="0" applyNumberFormat="1" applyFont="1" applyFill="1" applyBorder="1" applyAlignment="1" applyProtection="1">
      <alignment horizontal="left" vertical="center"/>
      <protection locked="0"/>
    </xf>
    <xf numFmtId="166" fontId="24" fillId="8" borderId="1" xfId="0" applyNumberFormat="1" applyFont="1" applyFill="1" applyBorder="1" applyAlignment="1" applyProtection="1">
      <alignment horizontal="left" vertical="center"/>
      <protection locked="0"/>
    </xf>
    <xf numFmtId="0" fontId="8" fillId="8" borderId="1" xfId="1" applyFill="1" applyBorder="1" applyAlignment="1" applyProtection="1">
      <alignment horizontal="left" vertical="center"/>
      <protection locked="0"/>
    </xf>
    <xf numFmtId="0" fontId="0" fillId="5" borderId="1" xfId="0" applyFill="1" applyBorder="1" applyAlignment="1" applyProtection="1">
      <alignment horizontal="center" vertical="center"/>
      <protection locked="0"/>
    </xf>
    <xf numFmtId="0" fontId="10" fillId="0" borderId="0" xfId="0" applyFont="1" applyBorder="1" applyAlignment="1" applyProtection="1">
      <alignment horizontal="center" vertical="center"/>
    </xf>
    <xf numFmtId="0" fontId="0" fillId="0" borderId="0" xfId="0" applyProtection="1"/>
    <xf numFmtId="0" fontId="0" fillId="0" borderId="1" xfId="0" applyBorder="1" applyAlignment="1" applyProtection="1">
      <alignment horizontal="center" vertical="center"/>
    </xf>
    <xf numFmtId="0" fontId="24" fillId="6" borderId="1" xfId="0" applyFont="1" applyFill="1" applyBorder="1" applyAlignment="1" applyProtection="1">
      <alignment horizontal="left" vertical="center"/>
    </xf>
    <xf numFmtId="2" fontId="0" fillId="0" borderId="0" xfId="0" applyNumberFormat="1" applyBorder="1" applyAlignment="1" applyProtection="1">
      <alignment horizontal="left" vertical="center"/>
    </xf>
    <xf numFmtId="49" fontId="0" fillId="0" borderId="0" xfId="0" applyNumberFormat="1" applyBorder="1" applyAlignment="1" applyProtection="1">
      <alignment horizontal="left" vertical="center"/>
    </xf>
    <xf numFmtId="165" fontId="24" fillId="9" borderId="0" xfId="0" applyNumberFormat="1" applyFont="1" applyFill="1" applyAlignment="1" applyProtection="1">
      <alignment horizontal="left" vertical="center"/>
    </xf>
    <xf numFmtId="2" fontId="10" fillId="0" borderId="0" xfId="0" applyNumberFormat="1" applyFont="1" applyBorder="1" applyAlignment="1" applyProtection="1">
      <alignment horizontal="left" vertical="center"/>
    </xf>
    <xf numFmtId="0" fontId="10" fillId="0" borderId="0" xfId="0" applyFont="1" applyProtection="1"/>
    <xf numFmtId="3" fontId="24" fillId="9" borderId="0" xfId="0" applyNumberFormat="1" applyFont="1" applyFill="1" applyAlignment="1" applyProtection="1">
      <alignment horizontal="left" vertical="center"/>
    </xf>
    <xf numFmtId="0" fontId="0" fillId="2" borderId="0" xfId="0" applyFill="1" applyProtection="1"/>
    <xf numFmtId="166" fontId="10" fillId="0" borderId="0" xfId="2" applyNumberFormat="1" applyFont="1" applyBorder="1" applyAlignment="1" applyProtection="1">
      <alignment horizontal="left" vertical="center"/>
    </xf>
    <xf numFmtId="0" fontId="0" fillId="0" borderId="1" xfId="0" applyBorder="1" applyProtection="1"/>
    <xf numFmtId="3" fontId="12" fillId="3" borderId="1" xfId="0" applyNumberFormat="1" applyFont="1" applyFill="1" applyBorder="1" applyProtection="1"/>
    <xf numFmtId="166" fontId="24" fillId="9" borderId="1" xfId="2" applyNumberFormat="1" applyFont="1" applyFill="1" applyBorder="1" applyAlignment="1" applyProtection="1">
      <alignment horizontal="left" vertical="center"/>
    </xf>
    <xf numFmtId="0" fontId="0" fillId="0" borderId="0" xfId="0" applyBorder="1" applyProtection="1"/>
    <xf numFmtId="2" fontId="24" fillId="9" borderId="1" xfId="0" applyNumberFormat="1" applyFont="1" applyFill="1" applyBorder="1" applyAlignment="1" applyProtection="1">
      <alignment horizontal="left" vertical="center"/>
    </xf>
    <xf numFmtId="0" fontId="10" fillId="0" borderId="0" xfId="0" applyFont="1" applyFill="1" applyBorder="1" applyProtection="1"/>
    <xf numFmtId="0" fontId="0" fillId="0" borderId="0" xfId="0" applyFill="1" applyBorder="1" applyProtection="1"/>
    <xf numFmtId="0" fontId="15" fillId="6" borderId="1" xfId="0" applyFont="1" applyFill="1" applyBorder="1" applyAlignment="1" applyProtection="1">
      <alignment horizontal="left" vertical="center"/>
    </xf>
    <xf numFmtId="3" fontId="10" fillId="7" borderId="1" xfId="0" applyNumberFormat="1" applyFont="1" applyFill="1" applyBorder="1" applyAlignment="1" applyProtection="1">
      <alignment vertical="center"/>
    </xf>
    <xf numFmtId="0" fontId="16" fillId="0" borderId="1" xfId="0" applyFont="1" applyBorder="1" applyAlignment="1" applyProtection="1">
      <alignment horizontal="center" vertical="center" wrapText="1"/>
    </xf>
    <xf numFmtId="0" fontId="10" fillId="0" borderId="1" xfId="0" applyFont="1" applyBorder="1" applyAlignment="1" applyProtection="1">
      <alignment horizontal="center" vertical="center"/>
    </xf>
    <xf numFmtId="0" fontId="10" fillId="0" borderId="1" xfId="0" applyFont="1" applyBorder="1" applyAlignment="1" applyProtection="1">
      <alignment horizontal="center"/>
    </xf>
    <xf numFmtId="0" fontId="13" fillId="0" borderId="1" xfId="0" applyFont="1" applyFill="1" applyBorder="1" applyAlignment="1" applyProtection="1">
      <alignment horizontal="center"/>
    </xf>
    <xf numFmtId="0" fontId="10" fillId="0" borderId="1" xfId="0" applyFont="1" applyFill="1" applyBorder="1" applyAlignment="1" applyProtection="1">
      <alignment horizontal="center"/>
    </xf>
    <xf numFmtId="167" fontId="24" fillId="0" borderId="1" xfId="2" applyNumberFormat="1" applyFont="1" applyFill="1" applyBorder="1" applyProtection="1"/>
    <xf numFmtId="0" fontId="17" fillId="0" borderId="1" xfId="0" applyFont="1" applyBorder="1" applyAlignment="1" applyProtection="1">
      <alignment horizontal="center" vertical="center" wrapText="1"/>
    </xf>
    <xf numFmtId="0" fontId="0" fillId="9" borderId="1" xfId="0" applyFill="1" applyBorder="1" applyAlignment="1" applyProtection="1">
      <alignment horizontal="center" vertical="center"/>
    </xf>
    <xf numFmtId="3" fontId="0" fillId="10" borderId="1" xfId="0" applyNumberFormat="1" applyFill="1" applyBorder="1" applyProtection="1"/>
    <xf numFmtId="2" fontId="10" fillId="0" borderId="0" xfId="0" applyNumberFormat="1" applyFont="1" applyAlignment="1" applyProtection="1">
      <alignment horizontal="left" vertical="center"/>
    </xf>
    <xf numFmtId="2" fontId="0" fillId="0" borderId="0" xfId="0" applyNumberFormat="1" applyAlignment="1" applyProtection="1">
      <alignment horizontal="left" vertical="center"/>
    </xf>
    <xf numFmtId="0" fontId="0" fillId="0" borderId="1" xfId="0" applyBorder="1" applyAlignment="1" applyProtection="1">
      <alignment horizontal="center"/>
    </xf>
    <xf numFmtId="0" fontId="24" fillId="11" borderId="1" xfId="0" applyFont="1" applyFill="1" applyBorder="1" applyAlignment="1" applyProtection="1">
      <alignment horizontal="left" vertical="center"/>
    </xf>
    <xf numFmtId="0" fontId="10" fillId="0" borderId="0" xfId="0" applyFont="1" applyBorder="1" applyAlignment="1" applyProtection="1"/>
    <xf numFmtId="0" fontId="16" fillId="0" borderId="1" xfId="0" applyFont="1" applyFill="1" applyBorder="1" applyAlignment="1" applyProtection="1">
      <alignment horizontal="center" vertical="center" wrapText="1"/>
    </xf>
    <xf numFmtId="0" fontId="18" fillId="0" borderId="3" xfId="0" applyFont="1" applyBorder="1" applyAlignment="1" applyProtection="1">
      <alignment horizontal="center" vertical="center"/>
    </xf>
    <xf numFmtId="0" fontId="18" fillId="0" borderId="1" xfId="0" applyFont="1" applyBorder="1" applyAlignment="1" applyProtection="1">
      <alignment horizontal="center" vertical="center"/>
    </xf>
    <xf numFmtId="167" fontId="10" fillId="0" borderId="0" xfId="2" applyNumberFormat="1" applyFont="1" applyProtection="1"/>
    <xf numFmtId="0" fontId="0" fillId="0" borderId="0" xfId="0" applyBorder="1" applyAlignment="1" applyProtection="1">
      <alignment horizontal="center" vertical="center"/>
    </xf>
    <xf numFmtId="0" fontId="24" fillId="9" borderId="1" xfId="0" applyNumberFormat="1" applyFont="1" applyFill="1" applyBorder="1" applyAlignment="1" applyProtection="1">
      <alignment horizontal="left" vertical="center"/>
    </xf>
    <xf numFmtId="0" fontId="0" fillId="0" borderId="0" xfId="0" applyAlignment="1" applyProtection="1">
      <alignment horizontal="center" vertical="center"/>
    </xf>
    <xf numFmtId="0" fontId="0" fillId="11" borderId="1" xfId="0" applyFont="1" applyFill="1" applyBorder="1" applyAlignment="1" applyProtection="1">
      <alignment horizontal="left" vertical="center"/>
    </xf>
    <xf numFmtId="0" fontId="24" fillId="0" borderId="0" xfId="0" applyFont="1" applyProtection="1"/>
    <xf numFmtId="2" fontId="24" fillId="0" borderId="0" xfId="0" applyNumberFormat="1" applyFont="1" applyAlignment="1" applyProtection="1">
      <alignment horizontal="left" vertical="center"/>
    </xf>
    <xf numFmtId="0" fontId="11" fillId="0" borderId="1" xfId="0" applyFont="1" applyBorder="1" applyAlignment="1" applyProtection="1">
      <alignment horizontal="center" vertical="center" wrapText="1"/>
    </xf>
    <xf numFmtId="0" fontId="19" fillId="0" borderId="1" xfId="0" applyFont="1" applyBorder="1" applyAlignment="1" applyProtection="1">
      <alignment horizontal="left" vertical="center" wrapText="1"/>
    </xf>
    <xf numFmtId="0" fontId="20" fillId="0" borderId="0" xfId="0" applyNumberFormat="1" applyFont="1" applyFill="1" applyBorder="1" applyAlignment="1" applyProtection="1">
      <alignment horizontal="center" vertical="center"/>
    </xf>
    <xf numFmtId="0" fontId="22" fillId="0" borderId="0" xfId="0" applyFont="1" applyAlignment="1" applyProtection="1">
      <alignment horizontal="center" vertical="center"/>
    </xf>
    <xf numFmtId="0" fontId="0" fillId="0" borderId="0" xfId="0" applyAlignment="1" applyProtection="1">
      <alignment horizontal="center" vertical="center" wrapText="1"/>
    </xf>
    <xf numFmtId="0" fontId="24" fillId="8" borderId="0" xfId="0" applyFont="1" applyFill="1" applyAlignment="1" applyProtection="1">
      <alignment vertical="center"/>
      <protection locked="0"/>
    </xf>
    <xf numFmtId="0" fontId="24" fillId="8" borderId="0" xfId="0" applyFont="1" applyFill="1" applyAlignment="1" applyProtection="1">
      <alignment vertical="center" wrapText="1"/>
      <protection locked="0"/>
    </xf>
    <xf numFmtId="0" fontId="0" fillId="0" borderId="14" xfId="0" applyBorder="1" applyProtection="1"/>
    <xf numFmtId="0" fontId="19" fillId="0" borderId="15" xfId="0" applyFont="1" applyBorder="1" applyAlignment="1" applyProtection="1">
      <alignment horizontal="left" vertical="center" wrapText="1"/>
    </xf>
    <xf numFmtId="0" fontId="0" fillId="0" borderId="17" xfId="0" applyBorder="1" applyProtection="1"/>
    <xf numFmtId="0" fontId="19" fillId="0" borderId="18" xfId="0" applyFont="1" applyBorder="1" applyAlignment="1" applyProtection="1">
      <alignment horizontal="left" vertical="center" wrapText="1"/>
    </xf>
    <xf numFmtId="0" fontId="0" fillId="12" borderId="20" xfId="0" applyFill="1" applyBorder="1" applyProtection="1"/>
    <xf numFmtId="0" fontId="19" fillId="12" borderId="21" xfId="0" applyFont="1" applyFill="1" applyBorder="1" applyAlignment="1" applyProtection="1">
      <alignment vertical="center" wrapText="1"/>
    </xf>
    <xf numFmtId="0" fontId="19" fillId="12" borderId="21" xfId="0" applyFont="1" applyFill="1" applyBorder="1" applyAlignment="1" applyProtection="1">
      <alignment horizontal="left" vertical="center" wrapText="1"/>
    </xf>
    <xf numFmtId="14" fontId="19" fillId="12" borderId="21" xfId="0" applyNumberFormat="1" applyFont="1" applyFill="1" applyBorder="1" applyAlignment="1" applyProtection="1">
      <alignment horizontal="center" vertical="center" wrapText="1"/>
    </xf>
    <xf numFmtId="49" fontId="23" fillId="0" borderId="2" xfId="0" applyNumberFormat="1" applyFont="1" applyBorder="1" applyAlignment="1" applyProtection="1">
      <alignment horizontal="center" vertical="center" wrapText="1"/>
    </xf>
    <xf numFmtId="9" fontId="35" fillId="0" borderId="6" xfId="0" applyNumberFormat="1" applyFont="1" applyBorder="1" applyAlignment="1" applyProtection="1">
      <alignment horizontal="center" vertical="center"/>
    </xf>
    <xf numFmtId="0" fontId="37" fillId="0" borderId="6" xfId="0" applyNumberFormat="1" applyFont="1" applyBorder="1" applyAlignment="1" applyProtection="1">
      <alignment horizontal="center" vertical="center"/>
    </xf>
    <xf numFmtId="0" fontId="18" fillId="0" borderId="15" xfId="0" applyFont="1" applyBorder="1" applyAlignment="1" applyProtection="1">
      <alignment horizontal="center" vertical="center"/>
    </xf>
    <xf numFmtId="2" fontId="24" fillId="8" borderId="1" xfId="0" applyNumberFormat="1" applyFont="1" applyFill="1" applyBorder="1" applyAlignment="1" applyProtection="1">
      <alignment horizontal="left" vertical="center" wrapText="1"/>
      <protection locked="0"/>
    </xf>
    <xf numFmtId="0" fontId="0" fillId="0" borderId="0" xfId="0" applyAlignment="1">
      <alignment horizontal="justify" vertical="top" wrapText="1"/>
    </xf>
    <xf numFmtId="3" fontId="0" fillId="0" borderId="1" xfId="0" applyNumberFormat="1" applyFill="1" applyBorder="1" applyProtection="1">
      <protection locked="0"/>
    </xf>
    <xf numFmtId="0" fontId="0" fillId="0" borderId="0" xfId="0" applyAlignment="1">
      <alignment horizontal="left" vertical="top" wrapText="1"/>
    </xf>
    <xf numFmtId="0" fontId="0" fillId="0" borderId="0" xfId="0" applyAlignment="1">
      <alignment horizontal="center" vertical="center" wrapText="1"/>
    </xf>
    <xf numFmtId="0" fontId="0" fillId="0" borderId="5" xfId="0" applyBorder="1" applyAlignment="1">
      <alignment horizontal="center" vertical="center" wrapText="1"/>
    </xf>
    <xf numFmtId="0" fontId="0" fillId="0" borderId="5" xfId="0" applyBorder="1" applyAlignment="1">
      <alignment horizontal="left" vertical="center" wrapText="1"/>
    </xf>
    <xf numFmtId="0" fontId="26" fillId="8" borderId="0" xfId="0" applyFont="1" applyFill="1" applyAlignment="1" applyProtection="1">
      <alignment vertical="center" wrapText="1"/>
      <protection locked="0"/>
    </xf>
    <xf numFmtId="0" fontId="24" fillId="6" borderId="1" xfId="0" applyFont="1" applyFill="1" applyBorder="1" applyAlignment="1" applyProtection="1">
      <alignment horizontal="left" vertical="center" wrapText="1"/>
    </xf>
    <xf numFmtId="1" fontId="24" fillId="9" borderId="1" xfId="0" applyNumberFormat="1" applyFont="1" applyFill="1" applyBorder="1" applyAlignment="1" applyProtection="1">
      <alignment horizontal="left" vertical="center"/>
    </xf>
    <xf numFmtId="1" fontId="25" fillId="9" borderId="1" xfId="0" applyNumberFormat="1" applyFont="1" applyFill="1" applyBorder="1" applyAlignment="1" applyProtection="1">
      <alignment horizontal="left" vertical="center"/>
    </xf>
    <xf numFmtId="0" fontId="10" fillId="0" borderId="1" xfId="0" applyFont="1" applyBorder="1" applyAlignment="1" applyProtection="1">
      <alignment horizontal="center" vertical="center"/>
    </xf>
    <xf numFmtId="0" fontId="0" fillId="0" borderId="0" xfId="0" applyAlignment="1">
      <alignment horizontal="justify" vertical="top" wrapText="1"/>
    </xf>
    <xf numFmtId="0" fontId="10" fillId="0" borderId="0" xfId="0" applyFont="1" applyAlignment="1">
      <alignment horizontal="justify" vertical="top" wrapText="1"/>
    </xf>
    <xf numFmtId="0" fontId="0" fillId="0" borderId="0" xfId="0" applyBorder="1" applyAlignment="1" applyProtection="1">
      <alignment horizontal="center"/>
    </xf>
    <xf numFmtId="49" fontId="20" fillId="0" borderId="1" xfId="0" applyNumberFormat="1" applyFont="1" applyBorder="1" applyAlignment="1" applyProtection="1">
      <alignment horizontal="center" vertical="center" wrapText="1"/>
    </xf>
    <xf numFmtId="49" fontId="20" fillId="0" borderId="15" xfId="0" applyNumberFormat="1" applyFont="1" applyBorder="1" applyAlignment="1" applyProtection="1">
      <alignment horizontal="center" vertical="center" wrapText="1"/>
    </xf>
    <xf numFmtId="0" fontId="10" fillId="0" borderId="1" xfId="0" applyFont="1" applyBorder="1" applyAlignment="1" applyProtection="1">
      <alignment horizontal="center" vertical="center" wrapText="1"/>
    </xf>
    <xf numFmtId="166" fontId="0" fillId="4" borderId="1" xfId="0" applyNumberFormat="1" applyFill="1" applyBorder="1" applyAlignment="1" applyProtection="1">
      <alignment horizontal="center" vertical="center"/>
      <protection locked="0"/>
    </xf>
    <xf numFmtId="0" fontId="0" fillId="0" borderId="0" xfId="0" applyAlignment="1">
      <alignment horizontal="justify" vertical="top" wrapText="1"/>
    </xf>
    <xf numFmtId="2" fontId="10" fillId="11" borderId="1" xfId="0" applyNumberFormat="1" applyFont="1" applyFill="1" applyBorder="1" applyAlignment="1" applyProtection="1">
      <alignment horizontal="center" vertical="center"/>
    </xf>
    <xf numFmtId="168" fontId="0" fillId="8" borderId="1" xfId="0" applyNumberFormat="1" applyFill="1" applyBorder="1" applyAlignment="1" applyProtection="1">
      <alignment horizontal="center" vertical="center"/>
    </xf>
    <xf numFmtId="2" fontId="10" fillId="11" borderId="1" xfId="0" applyNumberFormat="1" applyFont="1" applyFill="1" applyBorder="1" applyAlignment="1" applyProtection="1">
      <alignment horizontal="center" vertical="center" wrapText="1"/>
    </xf>
    <xf numFmtId="0" fontId="0" fillId="0" borderId="0" xfId="0" applyAlignment="1" applyProtection="1">
      <alignment wrapText="1"/>
    </xf>
    <xf numFmtId="10" fontId="0" fillId="8" borderId="1" xfId="0" applyNumberFormat="1" applyFill="1" applyBorder="1" applyAlignment="1" applyProtection="1">
      <alignment horizontal="center" vertical="center"/>
    </xf>
    <xf numFmtId="10" fontId="0" fillId="0" borderId="0" xfId="0" applyNumberFormat="1" applyAlignment="1" applyProtection="1">
      <alignment horizontal="center"/>
    </xf>
    <xf numFmtId="10" fontId="0" fillId="8" borderId="1" xfId="0" applyNumberFormat="1" applyFill="1" applyBorder="1" applyAlignment="1" applyProtection="1">
      <alignment horizontal="center"/>
    </xf>
    <xf numFmtId="9" fontId="0" fillId="8" borderId="1" xfId="0" applyNumberFormat="1" applyFill="1" applyBorder="1" applyAlignment="1" applyProtection="1">
      <alignment horizontal="center"/>
    </xf>
    <xf numFmtId="3" fontId="24" fillId="0" borderId="1" xfId="2" applyNumberFormat="1" applyFont="1" applyFill="1" applyBorder="1" applyProtection="1"/>
    <xf numFmtId="0" fontId="9" fillId="0" borderId="0" xfId="0" applyFont="1" applyBorder="1" applyProtection="1"/>
    <xf numFmtId="0" fontId="0" fillId="0" borderId="0" xfId="0" applyFill="1" applyBorder="1" applyAlignment="1" applyProtection="1">
      <alignment horizontal="center"/>
    </xf>
    <xf numFmtId="0" fontId="13" fillId="3" borderId="1" xfId="0"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14" fillId="4" borderId="1" xfId="0" applyFont="1" applyFill="1" applyBorder="1" applyAlignment="1" applyProtection="1">
      <alignment horizontal="center" vertical="center" wrapText="1"/>
    </xf>
    <xf numFmtId="0" fontId="11" fillId="3" borderId="6" xfId="0" applyFont="1" applyFill="1" applyBorder="1" applyAlignment="1" applyProtection="1">
      <alignment horizontal="center" vertical="center" wrapText="1"/>
    </xf>
    <xf numFmtId="2" fontId="26" fillId="8" borderId="1" xfId="0" applyNumberFormat="1" applyFont="1" applyFill="1" applyBorder="1" applyAlignment="1" applyProtection="1">
      <alignment horizontal="left" vertical="center"/>
      <protection locked="0"/>
    </xf>
    <xf numFmtId="3" fontId="0" fillId="3" borderId="6" xfId="0" applyNumberFormat="1" applyFill="1" applyBorder="1" applyAlignment="1" applyProtection="1">
      <alignment vertical="center"/>
      <protection hidden="1"/>
    </xf>
    <xf numFmtId="3" fontId="9" fillId="3" borderId="1" xfId="0" applyNumberFormat="1" applyFont="1" applyFill="1" applyBorder="1" applyProtection="1">
      <protection hidden="1"/>
    </xf>
    <xf numFmtId="3" fontId="0" fillId="3" borderId="1" xfId="0" applyNumberFormat="1" applyFill="1" applyBorder="1" applyProtection="1">
      <protection hidden="1"/>
    </xf>
    <xf numFmtId="3" fontId="9" fillId="4" borderId="1" xfId="0" applyNumberFormat="1" applyFont="1" applyFill="1" applyBorder="1" applyAlignment="1" applyProtection="1">
      <alignment vertical="center"/>
      <protection hidden="1"/>
    </xf>
    <xf numFmtId="3" fontId="0" fillId="4" borderId="1" xfId="0" applyNumberFormat="1" applyFill="1" applyBorder="1" applyAlignment="1" applyProtection="1">
      <alignment vertical="center"/>
      <protection hidden="1"/>
    </xf>
    <xf numFmtId="0" fontId="17" fillId="0" borderId="0" xfId="0" quotePrefix="1" applyFont="1" applyFill="1" applyBorder="1" applyAlignment="1" applyProtection="1">
      <alignment horizontal="left" vertical="center" wrapText="1"/>
      <protection locked="0"/>
    </xf>
    <xf numFmtId="0" fontId="17" fillId="0" borderId="0" xfId="0" applyFont="1" applyFill="1" applyBorder="1" applyAlignment="1" applyProtection="1">
      <alignment horizontal="left" vertical="center" wrapText="1"/>
      <protection locked="0"/>
    </xf>
    <xf numFmtId="0" fontId="0" fillId="0" borderId="0" xfId="0" applyFill="1" applyBorder="1" applyAlignment="1" applyProtection="1">
      <alignment horizontal="center"/>
      <protection locked="0"/>
    </xf>
    <xf numFmtId="165" fontId="0" fillId="0" borderId="0" xfId="0" quotePrefix="1" applyNumberFormat="1" applyFill="1" applyBorder="1" applyAlignment="1" applyProtection="1">
      <alignment horizontal="right" vertical="center"/>
      <protection locked="0"/>
    </xf>
    <xf numFmtId="0" fontId="10" fillId="0" borderId="0" xfId="0" applyFont="1" applyAlignment="1">
      <alignment horizontal="center" vertical="center" wrapText="1"/>
    </xf>
    <xf numFmtId="0" fontId="0" fillId="0" borderId="0" xfId="0" applyFont="1" applyAlignment="1">
      <alignment horizontal="justify" vertical="top" wrapText="1"/>
    </xf>
    <xf numFmtId="0" fontId="0" fillId="0" borderId="1" xfId="0" applyFill="1" applyBorder="1" applyAlignment="1" applyProtection="1">
      <alignment horizontal="center" vertical="center"/>
      <protection locked="0"/>
    </xf>
    <xf numFmtId="165" fontId="0" fillId="0" borderId="1" xfId="0" applyNumberFormat="1" applyFill="1" applyBorder="1" applyAlignment="1" applyProtection="1">
      <alignment horizontal="right" vertical="center"/>
      <protection locked="0"/>
    </xf>
    <xf numFmtId="0" fontId="0" fillId="0" borderId="1" xfId="0" quotePrefix="1" applyFill="1" applyBorder="1" applyAlignment="1" applyProtection="1">
      <alignment horizontal="center" vertical="center"/>
      <protection locked="0"/>
    </xf>
    <xf numFmtId="165" fontId="0" fillId="0" borderId="1" xfId="0" quotePrefix="1" applyNumberFormat="1" applyFill="1" applyBorder="1" applyAlignment="1" applyProtection="1">
      <alignment horizontal="right" vertical="center"/>
      <protection locked="0"/>
    </xf>
    <xf numFmtId="0" fontId="28" fillId="0" borderId="0" xfId="0" applyFont="1" applyFill="1" applyAlignment="1" applyProtection="1">
      <alignment wrapText="1"/>
      <protection locked="0"/>
    </xf>
    <xf numFmtId="0" fontId="0" fillId="0" borderId="0" xfId="0" applyAlignment="1">
      <alignment horizontal="left" vertical="top" wrapText="1"/>
    </xf>
    <xf numFmtId="0" fontId="0" fillId="0" borderId="0" xfId="0" applyAlignment="1">
      <alignment horizontal="left" vertical="center" wrapText="1"/>
    </xf>
    <xf numFmtId="2" fontId="24" fillId="0" borderId="1" xfId="0" applyNumberFormat="1" applyFont="1" applyFill="1" applyBorder="1" applyAlignment="1" applyProtection="1">
      <alignment horizontal="left" vertical="center"/>
      <protection locked="0"/>
    </xf>
    <xf numFmtId="49" fontId="24" fillId="8" borderId="0" xfId="0" applyNumberFormat="1" applyFont="1" applyFill="1" applyAlignment="1" applyProtection="1">
      <alignment vertical="center"/>
      <protection locked="0"/>
    </xf>
    <xf numFmtId="0" fontId="42" fillId="0" borderId="0" xfId="0" applyFont="1" applyAlignment="1"/>
    <xf numFmtId="0" fontId="49" fillId="0" borderId="0" xfId="0" applyFont="1" applyAlignment="1">
      <alignment horizontal="left" wrapText="1"/>
    </xf>
    <xf numFmtId="165" fontId="49" fillId="0" borderId="12" xfId="0" applyNumberFormat="1" applyFont="1" applyBorder="1" applyAlignment="1">
      <alignment horizontal="center" wrapText="1"/>
    </xf>
    <xf numFmtId="0" fontId="49" fillId="0" borderId="0" xfId="0" applyFont="1" applyBorder="1" applyAlignment="1">
      <alignment wrapText="1"/>
    </xf>
    <xf numFmtId="0" fontId="51" fillId="0" borderId="0" xfId="0" applyFont="1" applyBorder="1" applyAlignment="1">
      <alignment wrapText="1"/>
    </xf>
    <xf numFmtId="0" fontId="32" fillId="8" borderId="2" xfId="0" applyFont="1" applyFill="1" applyBorder="1" applyAlignment="1" applyProtection="1">
      <alignment horizontal="left" vertical="center"/>
      <protection locked="0"/>
    </xf>
    <xf numFmtId="0" fontId="32" fillId="8" borderId="8" xfId="0" applyFont="1" applyFill="1" applyBorder="1" applyAlignment="1" applyProtection="1">
      <alignment horizontal="left" vertical="center"/>
      <protection locked="0"/>
    </xf>
    <xf numFmtId="0" fontId="32" fillId="8" borderId="3" xfId="0" applyFont="1" applyFill="1" applyBorder="1" applyAlignment="1" applyProtection="1">
      <alignment horizontal="left" vertical="center"/>
      <protection locked="0"/>
    </xf>
    <xf numFmtId="0" fontId="10" fillId="0" borderId="12" xfId="0" applyFont="1" applyBorder="1" applyAlignment="1" applyProtection="1">
      <alignment horizontal="center"/>
    </xf>
    <xf numFmtId="49" fontId="31" fillId="0" borderId="1" xfId="0" applyNumberFormat="1" applyFont="1" applyBorder="1" applyAlignment="1">
      <alignment horizontal="justify" vertical="center" wrapText="1"/>
    </xf>
    <xf numFmtId="0" fontId="21" fillId="0" borderId="5" xfId="0" applyFont="1" applyBorder="1" applyAlignment="1" applyProtection="1">
      <alignment horizontal="center" vertical="center" wrapText="1"/>
    </xf>
    <xf numFmtId="0" fontId="21" fillId="0" borderId="0" xfId="0" applyFont="1" applyBorder="1" applyAlignment="1" applyProtection="1">
      <alignment horizontal="center" vertical="center" wrapText="1"/>
    </xf>
    <xf numFmtId="0" fontId="29" fillId="0" borderId="1" xfId="0" applyFont="1" applyBorder="1" applyAlignment="1" applyProtection="1">
      <alignment horizontal="center" vertical="center" wrapText="1"/>
    </xf>
    <xf numFmtId="0" fontId="10" fillId="0" borderId="1" xfId="0" applyFont="1" applyBorder="1" applyAlignment="1" applyProtection="1">
      <alignment horizontal="center"/>
    </xf>
    <xf numFmtId="0" fontId="17" fillId="0" borderId="2" xfId="0" applyFont="1" applyFill="1" applyBorder="1" applyAlignment="1" applyProtection="1">
      <alignment horizontal="left" vertical="center" wrapText="1"/>
      <protection locked="0"/>
    </xf>
    <xf numFmtId="0" fontId="17" fillId="0" borderId="8" xfId="0" applyFont="1" applyFill="1" applyBorder="1" applyAlignment="1" applyProtection="1">
      <alignment horizontal="left" vertical="center" wrapText="1"/>
      <protection locked="0"/>
    </xf>
    <xf numFmtId="3" fontId="0" fillId="0" borderId="2" xfId="0" applyNumberFormat="1" applyFill="1" applyBorder="1" applyAlignment="1" applyProtection="1">
      <alignment horizontal="center"/>
      <protection locked="0"/>
    </xf>
    <xf numFmtId="0" fontId="0" fillId="0" borderId="3" xfId="0" applyFill="1" applyBorder="1" applyAlignment="1" applyProtection="1">
      <alignment horizontal="center"/>
      <protection locked="0"/>
    </xf>
    <xf numFmtId="0" fontId="17" fillId="0" borderId="3" xfId="0" applyFont="1" applyFill="1" applyBorder="1" applyAlignment="1" applyProtection="1">
      <alignment horizontal="left" vertical="center" wrapText="1"/>
      <protection locked="0"/>
    </xf>
    <xf numFmtId="0" fontId="17" fillId="0" borderId="2" xfId="0" quotePrefix="1" applyFont="1" applyFill="1" applyBorder="1" applyAlignment="1" applyProtection="1">
      <alignment horizontal="left" vertical="center" wrapText="1"/>
      <protection locked="0"/>
    </xf>
    <xf numFmtId="0" fontId="0" fillId="0" borderId="2" xfId="0" applyFill="1" applyBorder="1" applyAlignment="1" applyProtection="1">
      <alignment horizontal="center"/>
      <protection locked="0"/>
    </xf>
    <xf numFmtId="0" fontId="16" fillId="0" borderId="2" xfId="0" applyFont="1" applyFill="1" applyBorder="1" applyAlignment="1" applyProtection="1">
      <alignment horizontal="center" vertical="center" wrapText="1"/>
    </xf>
    <xf numFmtId="0" fontId="16" fillId="0" borderId="8" xfId="0" applyFont="1" applyFill="1" applyBorder="1" applyAlignment="1" applyProtection="1">
      <alignment horizontal="center" vertical="center" wrapText="1"/>
    </xf>
    <xf numFmtId="0" fontId="16" fillId="0" borderId="3" xfId="0" applyFont="1" applyFill="1" applyBorder="1" applyAlignment="1" applyProtection="1">
      <alignment horizontal="center" vertical="center" wrapText="1"/>
    </xf>
    <xf numFmtId="49" fontId="15" fillId="0" borderId="22" xfId="0" applyNumberFormat="1" applyFont="1" applyBorder="1" applyAlignment="1" applyProtection="1">
      <alignment horizontal="left" vertical="center" wrapText="1"/>
    </xf>
    <xf numFmtId="49" fontId="15" fillId="0" borderId="23" xfId="0" applyNumberFormat="1" applyFont="1" applyBorder="1" applyAlignment="1" applyProtection="1">
      <alignment horizontal="left" vertical="center" wrapText="1"/>
    </xf>
    <xf numFmtId="49" fontId="15" fillId="0" borderId="24" xfId="0" applyNumberFormat="1" applyFont="1" applyBorder="1" applyAlignment="1" applyProtection="1">
      <alignment horizontal="left" vertical="center" wrapText="1"/>
    </xf>
    <xf numFmtId="0" fontId="33" fillId="0" borderId="6" xfId="0" applyFont="1" applyBorder="1" applyAlignment="1" applyProtection="1">
      <alignment horizontal="center" vertical="center"/>
    </xf>
    <xf numFmtId="49" fontId="35" fillId="0" borderId="2" xfId="0" applyNumberFormat="1" applyFont="1" applyBorder="1" applyAlignment="1" applyProtection="1">
      <alignment horizontal="center" vertical="center" wrapText="1"/>
    </xf>
    <xf numFmtId="49" fontId="35" fillId="0" borderId="8" xfId="0" applyNumberFormat="1" applyFont="1" applyBorder="1" applyAlignment="1" applyProtection="1">
      <alignment horizontal="center" vertical="center" wrapText="1"/>
    </xf>
    <xf numFmtId="49" fontId="35" fillId="0" borderId="3" xfId="0" applyNumberFormat="1" applyFont="1" applyBorder="1" applyAlignment="1" applyProtection="1">
      <alignment horizontal="center" vertical="center" wrapText="1"/>
    </xf>
    <xf numFmtId="0" fontId="19" fillId="0" borderId="19" xfId="0" applyFont="1" applyBorder="1" applyAlignment="1" applyProtection="1">
      <alignment horizontal="left" vertical="center" wrapText="1"/>
    </xf>
    <xf numFmtId="0" fontId="19" fillId="0" borderId="7" xfId="0" applyFont="1" applyBorder="1" applyAlignment="1" applyProtection="1">
      <alignment horizontal="left" vertical="center" wrapText="1"/>
    </xf>
    <xf numFmtId="0" fontId="19" fillId="0" borderId="16" xfId="0" applyFont="1" applyBorder="1" applyAlignment="1" applyProtection="1">
      <alignment horizontal="left" vertical="center" wrapText="1"/>
    </xf>
    <xf numFmtId="0" fontId="19" fillId="0" borderId="18" xfId="0" applyFont="1" applyBorder="1" applyAlignment="1" applyProtection="1">
      <alignment horizontal="left" vertical="center" wrapText="1"/>
    </xf>
    <xf numFmtId="0" fontId="19" fillId="0" borderId="15" xfId="0" applyFont="1" applyBorder="1" applyAlignment="1" applyProtection="1">
      <alignment horizontal="left" vertical="center" wrapText="1"/>
    </xf>
    <xf numFmtId="0" fontId="19" fillId="0" borderId="18" xfId="0" applyFont="1" applyFill="1" applyBorder="1" applyAlignment="1" applyProtection="1">
      <alignment horizontal="left" vertical="center" wrapText="1"/>
    </xf>
    <xf numFmtId="0" fontId="19" fillId="0" borderId="15" xfId="0" applyFont="1" applyFill="1" applyBorder="1" applyAlignment="1" applyProtection="1">
      <alignment horizontal="left" vertical="center" wrapText="1"/>
    </xf>
    <xf numFmtId="0" fontId="10" fillId="0" borderId="2" xfId="0" applyFont="1" applyBorder="1" applyAlignment="1" applyProtection="1">
      <alignment horizontal="center" vertical="center"/>
    </xf>
    <xf numFmtId="0" fontId="10" fillId="0" borderId="8" xfId="0" applyFont="1" applyBorder="1" applyAlignment="1" applyProtection="1">
      <alignment horizontal="center" vertical="center"/>
    </xf>
    <xf numFmtId="0" fontId="10" fillId="0" borderId="3" xfId="0" applyFont="1" applyBorder="1" applyAlignment="1" applyProtection="1">
      <alignment horizontal="center" vertical="center"/>
    </xf>
    <xf numFmtId="14" fontId="19" fillId="9" borderId="19" xfId="0" applyNumberFormat="1" applyFont="1" applyFill="1" applyBorder="1" applyAlignment="1" applyProtection="1">
      <alignment horizontal="center" vertical="center" wrapText="1"/>
    </xf>
    <xf numFmtId="14" fontId="19" fillId="9" borderId="7" xfId="0" applyNumberFormat="1" applyFont="1" applyFill="1" applyBorder="1" applyAlignment="1" applyProtection="1">
      <alignment horizontal="center" vertical="center" wrapText="1"/>
    </xf>
    <xf numFmtId="14" fontId="19" fillId="9" borderId="16" xfId="0" applyNumberFormat="1" applyFont="1" applyFill="1" applyBorder="1" applyAlignment="1" applyProtection="1">
      <alignment horizontal="center" vertical="center" wrapText="1"/>
    </xf>
    <xf numFmtId="0" fontId="19" fillId="0" borderId="19" xfId="0" applyFont="1" applyBorder="1" applyAlignment="1" applyProtection="1">
      <alignment horizontal="center" vertical="center" wrapText="1"/>
    </xf>
    <xf numFmtId="0" fontId="19" fillId="0" borderId="7" xfId="0" applyFont="1" applyBorder="1" applyAlignment="1" applyProtection="1">
      <alignment horizontal="center" vertical="center" wrapText="1"/>
    </xf>
    <xf numFmtId="0" fontId="19" fillId="0" borderId="16" xfId="0" applyFont="1" applyBorder="1" applyAlignment="1" applyProtection="1">
      <alignment horizontal="center" vertical="center" wrapText="1"/>
    </xf>
    <xf numFmtId="49" fontId="15" fillId="0" borderId="2" xfId="0" applyNumberFormat="1" applyFont="1" applyBorder="1" applyAlignment="1" applyProtection="1">
      <alignment horizontal="left" vertical="center" wrapText="1"/>
    </xf>
    <xf numFmtId="49" fontId="15" fillId="0" borderId="8" xfId="0" applyNumberFormat="1" applyFont="1" applyBorder="1" applyAlignment="1" applyProtection="1">
      <alignment horizontal="left" vertical="center" wrapText="1"/>
    </xf>
    <xf numFmtId="49" fontId="15" fillId="0" borderId="3" xfId="0" applyNumberFormat="1" applyFont="1" applyBorder="1" applyAlignment="1" applyProtection="1">
      <alignment horizontal="left" vertical="center" wrapText="1"/>
    </xf>
    <xf numFmtId="0" fontId="30" fillId="0" borderId="2" xfId="0" applyFont="1" applyBorder="1" applyAlignment="1" applyProtection="1">
      <alignment horizontal="center" vertical="center" wrapText="1"/>
    </xf>
    <xf numFmtId="0" fontId="30" fillId="0" borderId="8" xfId="0" applyFont="1" applyBorder="1" applyAlignment="1" applyProtection="1">
      <alignment horizontal="center" vertical="center" wrapText="1"/>
    </xf>
    <xf numFmtId="0" fontId="30" fillId="0" borderId="3" xfId="0" applyFont="1" applyBorder="1" applyAlignment="1" applyProtection="1">
      <alignment horizontal="center" vertical="center" wrapText="1"/>
    </xf>
    <xf numFmtId="49" fontId="31" fillId="0" borderId="9" xfId="0" applyNumberFormat="1" applyFont="1" applyBorder="1" applyAlignment="1" applyProtection="1">
      <alignment horizontal="center" vertical="center" wrapText="1"/>
    </xf>
    <xf numFmtId="49" fontId="31" fillId="0" borderId="5" xfId="0" applyNumberFormat="1" applyFont="1" applyBorder="1" applyAlignment="1" applyProtection="1">
      <alignment horizontal="center" vertical="center" wrapText="1"/>
    </xf>
    <xf numFmtId="49" fontId="31" fillId="0" borderId="10" xfId="0" applyNumberFormat="1" applyFont="1" applyBorder="1" applyAlignment="1" applyProtection="1">
      <alignment horizontal="center" vertical="center" wrapText="1"/>
    </xf>
    <xf numFmtId="49" fontId="31" fillId="0" borderId="11" xfId="0" applyNumberFormat="1" applyFont="1" applyBorder="1" applyAlignment="1" applyProtection="1">
      <alignment horizontal="center" vertical="center" wrapText="1"/>
    </xf>
    <xf numFmtId="49" fontId="31" fillId="0" borderId="12" xfId="0" applyNumberFormat="1" applyFont="1" applyBorder="1" applyAlignment="1" applyProtection="1">
      <alignment horizontal="center" vertical="center" wrapText="1"/>
    </xf>
    <xf numFmtId="49" fontId="31" fillId="0" borderId="13" xfId="0" applyNumberFormat="1" applyFont="1" applyBorder="1" applyAlignment="1" applyProtection="1">
      <alignment horizontal="center" vertical="center" wrapText="1"/>
    </xf>
    <xf numFmtId="0" fontId="0" fillId="0" borderId="2" xfId="0" applyBorder="1" applyAlignment="1" applyProtection="1">
      <alignment horizontal="center"/>
    </xf>
    <xf numFmtId="0" fontId="0" fillId="0" borderId="8" xfId="0" applyBorder="1" applyAlignment="1" applyProtection="1">
      <alignment horizontal="center"/>
    </xf>
    <xf numFmtId="0" fontId="0" fillId="0" borderId="3" xfId="0" applyBorder="1" applyAlignment="1" applyProtection="1">
      <alignment horizontal="center"/>
    </xf>
    <xf numFmtId="49" fontId="31" fillId="0" borderId="2" xfId="0" applyNumberFormat="1" applyFont="1" applyBorder="1" applyAlignment="1" applyProtection="1">
      <alignment horizontal="center" vertical="justify" wrapText="1"/>
    </xf>
    <xf numFmtId="49" fontId="31" fillId="0" borderId="8" xfId="0" applyNumberFormat="1" applyFont="1" applyBorder="1" applyAlignment="1" applyProtection="1">
      <alignment horizontal="center" vertical="justify" wrapText="1"/>
    </xf>
    <xf numFmtId="49" fontId="31" fillId="0" borderId="3" xfId="0" applyNumberFormat="1" applyFont="1" applyBorder="1" applyAlignment="1" applyProtection="1">
      <alignment horizontal="center" vertical="justify" wrapText="1"/>
    </xf>
    <xf numFmtId="15" fontId="19" fillId="9" borderId="4" xfId="0" applyNumberFormat="1" applyFont="1" applyFill="1" applyBorder="1" applyAlignment="1" applyProtection="1">
      <alignment horizontal="center" vertical="center" wrapText="1"/>
    </xf>
    <xf numFmtId="15" fontId="19" fillId="9" borderId="7" xfId="0" applyNumberFormat="1" applyFont="1" applyFill="1" applyBorder="1" applyAlignment="1" applyProtection="1">
      <alignment horizontal="center" vertical="center" wrapText="1"/>
    </xf>
    <xf numFmtId="15" fontId="19" fillId="9" borderId="16" xfId="0" applyNumberFormat="1" applyFont="1" applyFill="1" applyBorder="1" applyAlignment="1" applyProtection="1">
      <alignment horizontal="center" vertical="center" wrapText="1"/>
    </xf>
    <xf numFmtId="0" fontId="19" fillId="0" borderId="4" xfId="0" applyFont="1" applyBorder="1" applyAlignment="1" applyProtection="1">
      <alignment horizontal="center" vertical="center" wrapText="1"/>
    </xf>
    <xf numFmtId="14" fontId="19" fillId="0" borderId="19" xfId="0" applyNumberFormat="1" applyFont="1" applyFill="1" applyBorder="1" applyAlignment="1" applyProtection="1">
      <alignment horizontal="center" vertical="center" wrapText="1"/>
      <protection locked="0"/>
    </xf>
    <xf numFmtId="14" fontId="19" fillId="0" borderId="16" xfId="0" applyNumberFormat="1" applyFont="1" applyFill="1" applyBorder="1" applyAlignment="1" applyProtection="1">
      <alignment horizontal="center" vertical="center" wrapText="1"/>
      <protection locked="0"/>
    </xf>
    <xf numFmtId="0" fontId="0" fillId="7" borderId="1" xfId="0" applyFill="1" applyBorder="1" applyAlignment="1" applyProtection="1">
      <alignment horizontal="left" vertical="center"/>
    </xf>
    <xf numFmtId="0" fontId="0" fillId="9" borderId="1" xfId="0" applyFill="1" applyBorder="1" applyAlignment="1" applyProtection="1">
      <alignment horizontal="center" vertical="center"/>
    </xf>
    <xf numFmtId="0" fontId="0" fillId="10" borderId="1" xfId="0" applyFill="1" applyBorder="1" applyAlignment="1" applyProtection="1">
      <alignment horizontal="center"/>
    </xf>
    <xf numFmtId="0" fontId="0" fillId="5" borderId="1" xfId="0" applyFill="1" applyBorder="1" applyAlignment="1" applyProtection="1">
      <alignment horizontal="left"/>
    </xf>
    <xf numFmtId="0" fontId="17" fillId="8" borderId="2" xfId="0" applyFont="1" applyFill="1" applyBorder="1" applyAlignment="1" applyProtection="1">
      <alignment horizontal="left" vertical="center" wrapText="1"/>
      <protection locked="0"/>
    </xf>
    <xf numFmtId="0" fontId="17" fillId="8" borderId="8" xfId="0" applyFont="1" applyFill="1" applyBorder="1" applyAlignment="1" applyProtection="1">
      <alignment horizontal="left" vertical="center" wrapText="1"/>
      <protection locked="0"/>
    </xf>
    <xf numFmtId="3" fontId="0" fillId="8" borderId="2" xfId="0" applyNumberFormat="1" applyFill="1" applyBorder="1" applyAlignment="1" applyProtection="1">
      <alignment horizontal="center"/>
      <protection locked="0"/>
    </xf>
    <xf numFmtId="0" fontId="0" fillId="8" borderId="3" xfId="0" applyFill="1" applyBorder="1" applyAlignment="1" applyProtection="1">
      <alignment horizontal="center"/>
      <protection locked="0"/>
    </xf>
    <xf numFmtId="0" fontId="0" fillId="0" borderId="1" xfId="0" applyFill="1" applyBorder="1" applyAlignment="1" applyProtection="1">
      <alignment horizontal="center"/>
      <protection locked="0"/>
    </xf>
    <xf numFmtId="0" fontId="10" fillId="0" borderId="1" xfId="0" applyFont="1" applyBorder="1" applyAlignment="1" applyProtection="1">
      <alignment horizontal="center" vertical="center"/>
    </xf>
    <xf numFmtId="0" fontId="10" fillId="5" borderId="1" xfId="0" applyFont="1" applyFill="1" applyBorder="1" applyAlignment="1" applyProtection="1">
      <alignment horizontal="left" vertical="center"/>
    </xf>
    <xf numFmtId="3" fontId="0" fillId="0" borderId="1" xfId="0" applyNumberFormat="1" applyFill="1" applyBorder="1" applyAlignment="1" applyProtection="1">
      <alignment horizontal="left"/>
    </xf>
    <xf numFmtId="49" fontId="19" fillId="0" borderId="18" xfId="0" applyNumberFormat="1" applyFont="1" applyBorder="1" applyAlignment="1" applyProtection="1">
      <alignment horizontal="left" vertical="center" wrapText="1"/>
    </xf>
    <xf numFmtId="49" fontId="19" fillId="0" borderId="15" xfId="0" applyNumberFormat="1" applyFont="1" applyBorder="1" applyAlignment="1" applyProtection="1">
      <alignment horizontal="left" vertical="center" wrapText="1"/>
    </xf>
    <xf numFmtId="2" fontId="21" fillId="0" borderId="0" xfId="0" applyNumberFormat="1" applyFont="1" applyBorder="1" applyAlignment="1" applyProtection="1">
      <alignment horizontal="center" vertical="center" wrapText="1"/>
    </xf>
    <xf numFmtId="2" fontId="21" fillId="0" borderId="14" xfId="0" applyNumberFormat="1" applyFont="1" applyBorder="1" applyAlignment="1" applyProtection="1">
      <alignment horizontal="center" vertical="center" wrapText="1"/>
    </xf>
    <xf numFmtId="2" fontId="21" fillId="0" borderId="17" xfId="0" applyNumberFormat="1" applyFont="1" applyBorder="1" applyAlignment="1" applyProtection="1">
      <alignment horizontal="center" vertical="center" wrapText="1"/>
    </xf>
    <xf numFmtId="0" fontId="19" fillId="0" borderId="1" xfId="0" applyFont="1" applyBorder="1" applyAlignment="1" applyProtection="1">
      <alignment horizontal="left" vertical="center" wrapText="1"/>
    </xf>
    <xf numFmtId="0" fontId="13" fillId="0" borderId="1" xfId="0" applyFont="1" applyBorder="1" applyAlignment="1" applyProtection="1">
      <alignment horizontal="center" vertical="center"/>
    </xf>
    <xf numFmtId="2" fontId="21" fillId="12" borderId="20" xfId="0" applyNumberFormat="1" applyFont="1" applyFill="1" applyBorder="1" applyAlignment="1" applyProtection="1">
      <alignment horizontal="center" vertical="center" wrapText="1"/>
    </xf>
    <xf numFmtId="2" fontId="10" fillId="8" borderId="1" xfId="0" applyNumberFormat="1" applyFont="1" applyFill="1" applyBorder="1" applyAlignment="1" applyProtection="1">
      <alignment horizontal="justify" vertical="center"/>
      <protection locked="0"/>
    </xf>
    <xf numFmtId="0" fontId="0" fillId="0" borderId="0" xfId="0" applyAlignment="1" applyProtection="1">
      <alignment horizontal="center"/>
    </xf>
    <xf numFmtId="2" fontId="0" fillId="0" borderId="0" xfId="0" applyNumberFormat="1" applyBorder="1" applyAlignment="1" applyProtection="1">
      <alignment horizontal="center" vertical="center"/>
    </xf>
    <xf numFmtId="49" fontId="0" fillId="0" borderId="0" xfId="0" applyNumberFormat="1" applyBorder="1" applyAlignment="1" applyProtection="1">
      <alignment horizontal="center" vertical="center"/>
    </xf>
    <xf numFmtId="2" fontId="19" fillId="9" borderId="19" xfId="0" applyNumberFormat="1" applyFont="1" applyFill="1" applyBorder="1" applyAlignment="1" applyProtection="1">
      <alignment horizontal="center" vertical="center" wrapText="1"/>
    </xf>
    <xf numFmtId="0" fontId="19" fillId="9" borderId="16" xfId="0" applyNumberFormat="1" applyFont="1" applyFill="1" applyBorder="1" applyAlignment="1" applyProtection="1">
      <alignment horizontal="center" vertical="center" wrapText="1"/>
    </xf>
    <xf numFmtId="0" fontId="0" fillId="0" borderId="1" xfId="0" applyBorder="1" applyAlignment="1">
      <alignment horizontal="left" vertical="center" wrapText="1"/>
    </xf>
    <xf numFmtId="0" fontId="0" fillId="0" borderId="0" xfId="0" applyAlignment="1">
      <alignment horizontal="justify" vertical="top" wrapText="1"/>
    </xf>
    <xf numFmtId="0" fontId="0" fillId="0" borderId="0" xfId="0" applyAlignment="1">
      <alignment horizontal="center"/>
    </xf>
    <xf numFmtId="0" fontId="10" fillId="0" borderId="1" xfId="0" applyFont="1" applyBorder="1" applyAlignment="1">
      <alignment horizontal="center" vertical="center" wrapText="1"/>
    </xf>
    <xf numFmtId="0" fontId="27" fillId="0" borderId="5" xfId="0" applyFont="1" applyBorder="1" applyAlignment="1">
      <alignment horizontal="center" vertical="center" wrapText="1"/>
    </xf>
    <xf numFmtId="0" fontId="10" fillId="0" borderId="0" xfId="0" applyFont="1" applyAlignment="1">
      <alignment horizontal="justify" vertical="top" wrapText="1"/>
    </xf>
    <xf numFmtId="0" fontId="36" fillId="0" borderId="5" xfId="0" applyFont="1" applyBorder="1" applyAlignment="1">
      <alignment horizontal="center" vertical="center" wrapText="1"/>
    </xf>
    <xf numFmtId="0" fontId="0" fillId="0" borderId="0" xfId="0" applyBorder="1" applyAlignment="1">
      <alignment horizontal="justify" vertical="top" wrapText="1"/>
    </xf>
    <xf numFmtId="0" fontId="1" fillId="0" borderId="0" xfId="0" applyFont="1" applyAlignment="1">
      <alignment horizontal="justify" vertical="top" wrapText="1"/>
    </xf>
    <xf numFmtId="0" fontId="26" fillId="0" borderId="5" xfId="0" applyFont="1" applyBorder="1" applyAlignment="1">
      <alignment horizontal="center" vertical="center"/>
    </xf>
    <xf numFmtId="0" fontId="10" fillId="0" borderId="0" xfId="0" applyFont="1" applyAlignment="1">
      <alignment horizontal="center" vertical="center" wrapText="1"/>
    </xf>
    <xf numFmtId="0" fontId="0" fillId="0" borderId="0" xfId="0" applyAlignment="1">
      <alignment horizontal="left" vertical="top" wrapText="1"/>
    </xf>
    <xf numFmtId="0" fontId="0" fillId="0" borderId="0" xfId="0" applyFont="1" applyAlignment="1">
      <alignment horizontal="justify" vertical="top" wrapText="1"/>
    </xf>
    <xf numFmtId="0" fontId="10" fillId="0" borderId="0" xfId="0" applyFont="1" applyAlignment="1">
      <alignment horizontal="center" vertical="top"/>
    </xf>
    <xf numFmtId="0" fontId="0" fillId="0" borderId="0" xfId="0" applyAlignment="1">
      <alignment horizontal="center" vertical="center"/>
    </xf>
    <xf numFmtId="0" fontId="38" fillId="0" borderId="0" xfId="0" applyFont="1" applyAlignment="1">
      <alignment horizontal="left" vertical="top" wrapText="1"/>
    </xf>
    <xf numFmtId="0" fontId="40" fillId="0" borderId="0" xfId="0" applyFont="1" applyAlignment="1">
      <alignment horizontal="left" wrapText="1"/>
    </xf>
    <xf numFmtId="0" fontId="38" fillId="0" borderId="5" xfId="0" applyFont="1" applyBorder="1" applyAlignment="1">
      <alignment horizontal="left" vertical="center" wrapText="1"/>
    </xf>
    <xf numFmtId="0" fontId="38" fillId="0" borderId="0" xfId="0" applyFont="1" applyBorder="1" applyAlignment="1">
      <alignment horizontal="left" vertical="center" wrapText="1"/>
    </xf>
    <xf numFmtId="0" fontId="38" fillId="0" borderId="0" xfId="0" applyFont="1" applyAlignment="1">
      <alignment horizontal="left" vertical="center"/>
    </xf>
    <xf numFmtId="0" fontId="38" fillId="0" borderId="0" xfId="0" applyFont="1" applyBorder="1" applyAlignment="1">
      <alignment horizontal="left" vertical="top" wrapText="1"/>
    </xf>
    <xf numFmtId="0" fontId="38" fillId="0" borderId="5" xfId="0" applyFont="1" applyBorder="1" applyAlignment="1">
      <alignment horizontal="left" vertical="top" wrapText="1"/>
    </xf>
    <xf numFmtId="0" fontId="6" fillId="0" borderId="0" xfId="0" applyFont="1" applyAlignment="1">
      <alignment horizontal="left" vertical="top" wrapText="1"/>
    </xf>
    <xf numFmtId="0" fontId="19" fillId="0" borderId="0" xfId="0" applyFont="1" applyAlignment="1">
      <alignment horizontal="left" vertical="top" wrapText="1"/>
    </xf>
    <xf numFmtId="0" fontId="6" fillId="0" borderId="0" xfId="0" applyFont="1" applyAlignment="1">
      <alignment horizontal="justify" vertical="top" wrapText="1"/>
    </xf>
    <xf numFmtId="0" fontId="19" fillId="0" borderId="0" xfId="0" applyFont="1" applyAlignment="1">
      <alignment horizontal="justify" vertical="top" wrapText="1"/>
    </xf>
    <xf numFmtId="0" fontId="19" fillId="0" borderId="0" xfId="0" applyFont="1" applyAlignment="1">
      <alignment horizontal="left" vertical="center" wrapText="1"/>
    </xf>
    <xf numFmtId="0" fontId="6" fillId="0" borderId="0" xfId="0" applyNumberFormat="1" applyFont="1" applyAlignment="1">
      <alignment horizontal="justify" vertical="top" wrapText="1"/>
    </xf>
    <xf numFmtId="2" fontId="26" fillId="0" borderId="5" xfId="0" applyNumberFormat="1" applyFont="1" applyBorder="1" applyAlignment="1">
      <alignment horizontal="center" vertical="center" wrapText="1"/>
    </xf>
    <xf numFmtId="0" fontId="0" fillId="0" borderId="0" xfId="0" applyAlignment="1">
      <alignment horizontal="left" vertical="center" wrapText="1"/>
    </xf>
    <xf numFmtId="0" fontId="0" fillId="0" borderId="2" xfId="0" applyBorder="1" applyAlignment="1">
      <alignment horizontal="justify" vertical="center" wrapText="1"/>
    </xf>
    <xf numFmtId="0" fontId="0" fillId="0" borderId="8" xfId="0" applyBorder="1" applyAlignment="1">
      <alignment horizontal="justify" vertical="center" wrapText="1"/>
    </xf>
    <xf numFmtId="0" fontId="0" fillId="0" borderId="3" xfId="0" applyBorder="1" applyAlignment="1">
      <alignment horizontal="justify" vertical="center" wrapText="1"/>
    </xf>
    <xf numFmtId="165" fontId="0" fillId="0" borderId="1" xfId="0" applyNumberFormat="1" applyBorder="1" applyAlignment="1">
      <alignment horizontal="left" vertical="center" wrapText="1"/>
    </xf>
    <xf numFmtId="0" fontId="0" fillId="0" borderId="1" xfId="0" applyBorder="1" applyAlignment="1">
      <alignment vertical="center" wrapText="1"/>
    </xf>
    <xf numFmtId="0" fontId="41" fillId="0" borderId="0" xfId="0" applyFont="1" applyAlignment="1">
      <alignment horizontal="center" vertical="center" wrapText="1"/>
    </xf>
    <xf numFmtId="0" fontId="0" fillId="0" borderId="1" xfId="0" applyBorder="1" applyAlignment="1">
      <alignment wrapText="1"/>
    </xf>
    <xf numFmtId="0" fontId="0" fillId="0" borderId="1" xfId="0" applyBorder="1" applyAlignment="1">
      <alignment vertical="top" wrapText="1"/>
    </xf>
    <xf numFmtId="0" fontId="38" fillId="0" borderId="5" xfId="0" applyFont="1" applyBorder="1" applyAlignment="1">
      <alignment horizontal="left" vertical="center"/>
    </xf>
    <xf numFmtId="0" fontId="38" fillId="0" borderId="0" xfId="0" applyFont="1" applyAlignment="1">
      <alignment horizontal="left" vertical="top"/>
    </xf>
    <xf numFmtId="0" fontId="38" fillId="0" borderId="0" xfId="0" applyFont="1" applyAlignment="1">
      <alignment horizontal="left" vertical="center" wrapText="1"/>
    </xf>
    <xf numFmtId="0" fontId="40" fillId="0" borderId="0" xfId="0" applyFont="1" applyAlignment="1">
      <alignment horizontal="left" vertical="center" wrapText="1"/>
    </xf>
    <xf numFmtId="0" fontId="10" fillId="0" borderId="1" xfId="0" applyFont="1" applyBorder="1" applyAlignment="1">
      <alignment horizontal="left" vertical="center" wrapText="1"/>
    </xf>
    <xf numFmtId="2" fontId="34" fillId="0" borderId="2" xfId="0" applyNumberFormat="1" applyFont="1" applyBorder="1" applyAlignment="1">
      <alignment horizontal="justify" vertical="center" wrapText="1"/>
    </xf>
    <xf numFmtId="0" fontId="34" fillId="0" borderId="8" xfId="0" applyFont="1" applyBorder="1" applyAlignment="1">
      <alignment horizontal="justify" vertical="center" wrapText="1"/>
    </xf>
    <xf numFmtId="0" fontId="34" fillId="0" borderId="3" xfId="0" applyFont="1" applyBorder="1" applyAlignment="1">
      <alignment horizontal="justify" vertical="center" wrapText="1"/>
    </xf>
    <xf numFmtId="0" fontId="0" fillId="0" borderId="1" xfId="0" applyBorder="1" applyAlignment="1">
      <alignment horizontal="left" vertical="center"/>
    </xf>
    <xf numFmtId="2" fontId="34" fillId="0" borderId="1" xfId="0" applyNumberFormat="1" applyFont="1" applyBorder="1" applyAlignment="1">
      <alignment horizontal="left" vertical="center"/>
    </xf>
    <xf numFmtId="0" fontId="34" fillId="0" borderId="1" xfId="0" applyFont="1" applyBorder="1" applyAlignment="1">
      <alignment horizontal="left" vertical="center"/>
    </xf>
    <xf numFmtId="0" fontId="0" fillId="0" borderId="0" xfId="0" applyAlignment="1">
      <alignment horizontal="justify" vertical="center" wrapText="1"/>
    </xf>
    <xf numFmtId="165" fontId="0" fillId="0" borderId="1" xfId="0" applyNumberFormat="1" applyBorder="1" applyAlignment="1">
      <alignment horizontal="left" vertical="center"/>
    </xf>
    <xf numFmtId="0" fontId="48" fillId="0" borderId="0" xfId="0" applyFont="1" applyAlignment="1">
      <alignment horizontal="center" vertical="center" wrapText="1"/>
    </xf>
    <xf numFmtId="0" fontId="43" fillId="0" borderId="0" xfId="0" applyFont="1" applyAlignment="1">
      <alignment horizontal="center" vertical="center"/>
    </xf>
    <xf numFmtId="0" fontId="44" fillId="0" borderId="0" xfId="0" applyFont="1" applyAlignment="1">
      <alignment horizontal="center" vertical="center" wrapText="1"/>
    </xf>
    <xf numFmtId="0" fontId="45" fillId="0" borderId="0" xfId="0" applyFont="1" applyAlignment="1">
      <alignment horizontal="center" vertical="center" wrapText="1"/>
    </xf>
    <xf numFmtId="0" fontId="46" fillId="0" borderId="0" xfId="0" applyFont="1" applyAlignment="1">
      <alignment horizontal="center" vertical="center" wrapText="1"/>
    </xf>
    <xf numFmtId="0" fontId="47" fillId="0" borderId="0" xfId="0" applyFont="1" applyAlignment="1">
      <alignment horizontal="center" vertical="center" wrapText="1"/>
    </xf>
    <xf numFmtId="0" fontId="42" fillId="0" borderId="0" xfId="0" applyFont="1" applyAlignment="1">
      <alignment horizontal="center"/>
    </xf>
    <xf numFmtId="0" fontId="33" fillId="0" borderId="12" xfId="0" applyFont="1" applyBorder="1" applyAlignment="1">
      <alignment horizontal="center" wrapText="1"/>
    </xf>
    <xf numFmtId="0" fontId="48" fillId="0" borderId="0" xfId="0" applyFont="1" applyAlignment="1">
      <alignment horizontal="center" wrapText="1"/>
    </xf>
    <xf numFmtId="0" fontId="49" fillId="0" borderId="0" xfId="0" applyFont="1" applyBorder="1" applyAlignment="1">
      <alignment horizontal="left" wrapText="1"/>
    </xf>
    <xf numFmtId="0" fontId="50" fillId="0" borderId="12" xfId="0" applyFont="1" applyBorder="1" applyAlignment="1">
      <alignment horizontal="center" vertical="center" wrapText="1"/>
    </xf>
    <xf numFmtId="0" fontId="49" fillId="0" borderId="0" xfId="0" applyFont="1" applyBorder="1" applyAlignment="1">
      <alignment horizontal="right" wrapText="1"/>
    </xf>
    <xf numFmtId="0" fontId="51" fillId="0" borderId="0" xfId="0" applyFont="1" applyBorder="1" applyAlignment="1">
      <alignment horizontal="center" wrapText="1"/>
    </xf>
    <xf numFmtId="169" fontId="51" fillId="0" borderId="12" xfId="0" applyNumberFormat="1" applyFont="1" applyBorder="1" applyAlignment="1">
      <alignment horizontal="center" vertical="center" wrapText="1"/>
    </xf>
    <xf numFmtId="0" fontId="52" fillId="0" borderId="5" xfId="0" applyFont="1" applyBorder="1" applyAlignment="1">
      <alignment horizontal="center" wrapText="1"/>
    </xf>
    <xf numFmtId="0" fontId="52" fillId="0" borderId="5" xfId="0" applyFont="1" applyBorder="1" applyAlignment="1">
      <alignment horizontal="center"/>
    </xf>
  </cellXfs>
  <cellStyles count="3">
    <cellStyle name="Hipervínculo" xfId="1" builtinId="8"/>
    <cellStyle name="Moneda" xfId="2" builtinId="4"/>
    <cellStyle name="Normal" xfId="0" builtinId="0"/>
  </cellStyles>
  <dxfs count="0"/>
  <tableStyles count="0" defaultTableStyle="TableStyleMedium2" defaultPivotStyle="PivotStyleLight16"/>
  <colors>
    <mruColors>
      <color rgb="FFFF33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180975</xdr:colOff>
      <xdr:row>42</xdr:row>
      <xdr:rowOff>104775</xdr:rowOff>
    </xdr:from>
    <xdr:to>
      <xdr:col>5</xdr:col>
      <xdr:colOff>219075</xdr:colOff>
      <xdr:row>44</xdr:row>
      <xdr:rowOff>76200</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09850" y="13963650"/>
          <a:ext cx="1657350"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285750</xdr:colOff>
      <xdr:row>24</xdr:row>
      <xdr:rowOff>104775</xdr:rowOff>
    </xdr:from>
    <xdr:to>
      <xdr:col>5</xdr:col>
      <xdr:colOff>323850</xdr:colOff>
      <xdr:row>26</xdr:row>
      <xdr:rowOff>76200</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14625" y="7600950"/>
          <a:ext cx="1657350"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219074</xdr:colOff>
      <xdr:row>71</xdr:row>
      <xdr:rowOff>180975</xdr:rowOff>
    </xdr:from>
    <xdr:to>
      <xdr:col>2</xdr:col>
      <xdr:colOff>38099</xdr:colOff>
      <xdr:row>73</xdr:row>
      <xdr:rowOff>152400</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4" y="19516725"/>
          <a:ext cx="1438275"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533400</xdr:colOff>
      <xdr:row>71</xdr:row>
      <xdr:rowOff>180976</xdr:rowOff>
    </xdr:from>
    <xdr:to>
      <xdr:col>6</xdr:col>
      <xdr:colOff>714375</xdr:colOff>
      <xdr:row>73</xdr:row>
      <xdr:rowOff>142876</xdr:rowOff>
    </xdr:to>
    <xdr:pic>
      <xdr:nvPicPr>
        <xdr:cNvPr id="3" name="2 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95825" y="19516726"/>
          <a:ext cx="990600" cy="34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257175</xdr:colOff>
      <xdr:row>33</xdr:row>
      <xdr:rowOff>76201</xdr:rowOff>
    </xdr:from>
    <xdr:to>
      <xdr:col>6</xdr:col>
      <xdr:colOff>438150</xdr:colOff>
      <xdr:row>35</xdr:row>
      <xdr:rowOff>57151</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62400" y="8953501"/>
          <a:ext cx="990600" cy="36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57150</xdr:colOff>
      <xdr:row>33</xdr:row>
      <xdr:rowOff>171450</xdr:rowOff>
    </xdr:from>
    <xdr:to>
      <xdr:col>2</xdr:col>
      <xdr:colOff>95250</xdr:colOff>
      <xdr:row>35</xdr:row>
      <xdr:rowOff>142875</xdr:rowOff>
    </xdr:to>
    <xdr:pic>
      <xdr:nvPicPr>
        <xdr:cNvPr id="4" name="3 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 y="9048750"/>
          <a:ext cx="1657350"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38100</xdr:colOff>
      <xdr:row>39</xdr:row>
      <xdr:rowOff>19050</xdr:rowOff>
    </xdr:from>
    <xdr:to>
      <xdr:col>3</xdr:col>
      <xdr:colOff>885825</xdr:colOff>
      <xdr:row>41</xdr:row>
      <xdr:rowOff>0</xdr:rowOff>
    </xdr:to>
    <xdr:pic>
      <xdr:nvPicPr>
        <xdr:cNvPr id="2"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8825" y="7734300"/>
          <a:ext cx="2028825" cy="36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152400</xdr:colOff>
      <xdr:row>39</xdr:row>
      <xdr:rowOff>66675</xdr:rowOff>
    </xdr:from>
    <xdr:to>
      <xdr:col>3</xdr:col>
      <xdr:colOff>1000125</xdr:colOff>
      <xdr:row>41</xdr:row>
      <xdr:rowOff>47625</xdr:rowOff>
    </xdr:to>
    <xdr:pic>
      <xdr:nvPicPr>
        <xdr:cNvPr id="2"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3125" y="7781925"/>
          <a:ext cx="2028825" cy="36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253"/>
  <sheetViews>
    <sheetView topLeftCell="J13" zoomScale="70" zoomScaleNormal="70" workbookViewId="0">
      <selection activeCell="W17" sqref="W17"/>
    </sheetView>
  </sheetViews>
  <sheetFormatPr baseColWidth="10" defaultRowHeight="15.75" x14ac:dyDescent="0.25"/>
  <cols>
    <col min="1" max="1" width="10.85546875" style="84" customWidth="1"/>
    <col min="2" max="2" width="33.140625" style="86" customWidth="1"/>
    <col min="3" max="3" width="46.42578125" style="87" bestFit="1" customWidth="1"/>
    <col min="4" max="4" width="22.5703125" style="74" customWidth="1"/>
    <col min="5" max="5" width="21.42578125" style="74" bestFit="1" customWidth="1"/>
    <col min="6" max="6" width="4.140625" style="44" customWidth="1"/>
    <col min="7" max="7" width="21.7109375" style="44" bestFit="1" customWidth="1"/>
    <col min="8" max="8" width="19.42578125" style="44" customWidth="1"/>
    <col min="9" max="9" width="39" style="44" customWidth="1"/>
    <col min="10" max="10" width="14.85546875" style="44" bestFit="1" customWidth="1"/>
    <col min="11" max="11" width="21" style="44" customWidth="1"/>
    <col min="12" max="12" width="22.140625" style="44" customWidth="1"/>
    <col min="13" max="13" width="8.5703125" style="44" customWidth="1"/>
    <col min="14" max="14" width="21.7109375" style="44" customWidth="1"/>
    <col min="15" max="15" width="24.85546875" style="44" customWidth="1"/>
    <col min="16" max="17" width="11.42578125" style="44"/>
    <col min="18" max="18" width="15.140625" style="44" customWidth="1"/>
    <col min="19" max="23" width="17.42578125" style="44" customWidth="1"/>
    <col min="24" max="24" width="11.42578125" style="44"/>
    <col min="25" max="25" width="15" style="44" bestFit="1" customWidth="1"/>
    <col min="26" max="27" width="11.42578125" style="44"/>
    <col min="28" max="28" width="14.28515625" style="44" bestFit="1" customWidth="1"/>
    <col min="29" max="29" width="21.140625" style="44" bestFit="1" customWidth="1"/>
    <col min="30" max="16384" width="11.42578125" style="44"/>
  </cols>
  <sheetData>
    <row r="2" spans="1:29" ht="15" x14ac:dyDescent="0.25">
      <c r="A2" s="243" t="s">
        <v>0</v>
      </c>
      <c r="B2" s="243"/>
      <c r="C2" s="243"/>
      <c r="D2" s="43"/>
      <c r="E2" s="255" t="s">
        <v>211</v>
      </c>
      <c r="F2" s="255"/>
      <c r="G2" s="255"/>
      <c r="H2" s="255"/>
      <c r="I2" s="255"/>
      <c r="J2" s="44" t="s">
        <v>206</v>
      </c>
    </row>
    <row r="3" spans="1:29" x14ac:dyDescent="0.25">
      <c r="A3" s="45" t="s">
        <v>1</v>
      </c>
      <c r="B3" s="46" t="s">
        <v>2</v>
      </c>
      <c r="C3" s="33" t="s">
        <v>293</v>
      </c>
      <c r="D3" s="47"/>
      <c r="E3" s="256" t="s">
        <v>212</v>
      </c>
      <c r="F3" s="256"/>
      <c r="G3" s="256"/>
      <c r="H3" s="256"/>
      <c r="I3" s="256"/>
      <c r="J3" s="44" t="s">
        <v>207</v>
      </c>
    </row>
    <row r="4" spans="1:29" x14ac:dyDescent="0.25">
      <c r="A4" s="45" t="s">
        <v>3</v>
      </c>
      <c r="B4" s="46" t="s">
        <v>4</v>
      </c>
      <c r="C4" s="34" t="s">
        <v>294</v>
      </c>
      <c r="D4" s="48"/>
      <c r="E4" s="257" t="s">
        <v>213</v>
      </c>
      <c r="F4" s="257"/>
      <c r="G4" s="257"/>
      <c r="H4" s="257"/>
      <c r="I4" s="257"/>
      <c r="J4" s="44" t="s">
        <v>208</v>
      </c>
    </row>
    <row r="5" spans="1:29" x14ac:dyDescent="0.25">
      <c r="A5" s="45" t="s">
        <v>5</v>
      </c>
      <c r="B5" s="46" t="s">
        <v>6</v>
      </c>
      <c r="C5" s="33" t="s">
        <v>295</v>
      </c>
      <c r="D5" s="47"/>
      <c r="E5" s="256" t="s">
        <v>214</v>
      </c>
      <c r="F5" s="256"/>
      <c r="G5" s="256"/>
      <c r="H5" s="256"/>
      <c r="I5" s="256"/>
      <c r="J5" s="44" t="s">
        <v>209</v>
      </c>
    </row>
    <row r="6" spans="1:29" x14ac:dyDescent="0.25">
      <c r="A6" s="45" t="s">
        <v>7</v>
      </c>
      <c r="B6" s="46" t="s">
        <v>8</v>
      </c>
      <c r="C6" s="49" t="str">
        <f>IF(AC17=AB17,O17,(IF(AC17=AB18,O18,IF(AC17=AB19,O19,IF(AC17=AB20,O20,O21)))))</f>
        <v>NELSON LEON MEJIA BILBAO</v>
      </c>
      <c r="D6" s="50"/>
      <c r="E6" s="255" t="s">
        <v>215</v>
      </c>
      <c r="F6" s="255"/>
      <c r="G6" s="255"/>
      <c r="H6" s="255"/>
      <c r="I6" s="255"/>
      <c r="J6" s="44" t="s">
        <v>210</v>
      </c>
    </row>
    <row r="7" spans="1:29" x14ac:dyDescent="0.25">
      <c r="A7" s="45" t="s">
        <v>9</v>
      </c>
      <c r="B7" s="46" t="s">
        <v>10</v>
      </c>
      <c r="C7" s="52" t="str">
        <f>IF(AC17=AB17,U17,(IF(AC17=AB18,U18,IF(AC17=AB19,U19,IF(AC17=AB20,U20,U21)))))</f>
        <v>71.669.550-1</v>
      </c>
      <c r="D7" s="50"/>
      <c r="E7" s="50"/>
      <c r="F7" s="51"/>
    </row>
    <row r="8" spans="1:29" ht="108" customHeight="1" x14ac:dyDescent="0.25">
      <c r="A8" s="45" t="s">
        <v>11</v>
      </c>
      <c r="B8" s="46" t="s">
        <v>119</v>
      </c>
      <c r="C8" s="107" t="s">
        <v>279</v>
      </c>
      <c r="D8" s="115" t="s">
        <v>205</v>
      </c>
      <c r="E8" s="254" t="s">
        <v>280</v>
      </c>
      <c r="F8" s="254"/>
      <c r="G8" s="254"/>
      <c r="H8" s="254"/>
      <c r="I8" s="254"/>
      <c r="J8" s="53" t="s">
        <v>12</v>
      </c>
    </row>
    <row r="9" spans="1:29" ht="27.75" customHeight="1" x14ac:dyDescent="0.25">
      <c r="A9" s="45" t="s">
        <v>13</v>
      </c>
      <c r="B9" s="46" t="s">
        <v>34</v>
      </c>
      <c r="C9" s="49">
        <f>IF(AC17=AB17,W17,(IF(AC17=AB18,W18,IF(AC17=AB19,W19,IF(AC17=AB20,W20,W21)))))</f>
        <v>8280000</v>
      </c>
      <c r="D9" s="54"/>
      <c r="E9" s="54"/>
      <c r="F9" s="51"/>
      <c r="G9" s="58"/>
      <c r="H9" s="143">
        <f>IF(C28="SI",(IF(C29="NO",(IF(C30="SI",(IF(C31="NO",(IF(C32="NO",(IF(C33="NO",(IF(C34="NO",(IF(I14&gt;=D30,(I14*E30), (0))),(0))),(0))),(0))),(0))),(0))),(0))),(IF(C28="NO",(IF(C29="NO",(IF(C30="SI",(IF(C31="NO",(IF(C32="NO",(IF(C33="NO",(IF(C34="NO",(IF(I14&gt;=D30,(I14*G30), (0))),(0))),(0))),(0))),(0))),(0))),(0))),(0))))</f>
        <v>0</v>
      </c>
      <c r="I9" s="141" t="s">
        <v>252</v>
      </c>
      <c r="J9" s="56">
        <f>+MROUND(H9,1000)</f>
        <v>0</v>
      </c>
      <c r="K9"/>
    </row>
    <row r="10" spans="1:29" x14ac:dyDescent="0.25">
      <c r="A10" s="45" t="s">
        <v>14</v>
      </c>
      <c r="B10" s="46" t="s">
        <v>15</v>
      </c>
      <c r="C10" s="57">
        <f>+K18</f>
        <v>7452000</v>
      </c>
      <c r="D10" s="54"/>
      <c r="E10" s="54"/>
      <c r="F10" s="51"/>
      <c r="G10" s="136"/>
      <c r="H10" s="144">
        <f>IF(C28="SI",(IF(C29="SI",(IF(C30="NO",(IF(C31="NO",(IF(C32="NO",(IF(C33="NO",(IF(C34="NO",(IF(I14&gt;=D29,(I14*E29), (0))),(0))),(0))),(0))),(0))),(0))),(0))),(IF(C28="NO",(IF(C29="SI",(IF(C30="NO",(IF(C31="NO",(IF(C32="NO",(IF(C33="NO",(IF(C34="NO",(IF(I14&gt;=D29,(I14*G29), (0))),(0))),(0))),(0))),(0))),(0))),(0))),(0))))</f>
        <v>0</v>
      </c>
      <c r="I10" s="138" t="s">
        <v>253</v>
      </c>
      <c r="J10" s="56">
        <f>+MROUND(H10,1000)</f>
        <v>0</v>
      </c>
      <c r="K10"/>
    </row>
    <row r="11" spans="1:29" x14ac:dyDescent="0.25">
      <c r="A11" s="45" t="s">
        <v>16</v>
      </c>
      <c r="B11" s="46" t="s">
        <v>17</v>
      </c>
      <c r="C11" s="33" t="s">
        <v>296</v>
      </c>
      <c r="D11" s="50" t="s">
        <v>284</v>
      </c>
      <c r="E11" s="50"/>
      <c r="F11" s="51"/>
      <c r="G11" s="58"/>
      <c r="H11" s="145">
        <f>IF(I18&gt;=D30, I15*0.15,0)</f>
        <v>0</v>
      </c>
      <c r="I11" s="139" t="s">
        <v>18</v>
      </c>
      <c r="J11" s="56">
        <f>+MROUND(H11,1000)</f>
        <v>0</v>
      </c>
      <c r="K11"/>
    </row>
    <row r="12" spans="1:29" ht="31.5" customHeight="1" x14ac:dyDescent="0.25">
      <c r="A12" s="45" t="s">
        <v>19</v>
      </c>
      <c r="B12" s="46" t="s">
        <v>120</v>
      </c>
      <c r="C12" s="57">
        <f>+K12</f>
        <v>0</v>
      </c>
      <c r="D12" s="54"/>
      <c r="E12" s="54"/>
      <c r="F12" s="51"/>
      <c r="G12" s="58"/>
      <c r="H12" s="146">
        <f>IF(C28="SI",(IF(C29="NO",(IF(C30="NO",(IF(C31="SI",(IF(C32="NO",(IF(C33="NO",(IF(C34="NO",(IF(I14&gt;=D31,(I14*E31), (0))),(0))),(0))),(0))),(0))),(0))),(0))),(IF(C28="NO",(IF(C29="NO",(IF(C30="NO",(IF(C31="SI",(IF(C32="NO",(IF(C33="NO",(IF(C34="NO",(IF(I14&gt;=D31,(I14*G31), (0))),(0))),(0))),(0))),(0))),(0))),(0))),(0))))+IF(C28="SI",(IF(C29="NO",(IF(C30="NO",(IF(C31="NO",(IF(C32="SI",(IF(C33="NO",(IF(C34="NO",(IF(I14&gt;=D32,(I14*E32), (0))),(0))),(0))),(0))),(0))),(0))),(0))),(IF(C28="NO",(IF(C29="NO",(IF(C30="NO",(IF(C31="NO",(IF(C32="SI",(IF(C33="NO",(IF(C34="NO",(IF(I14&gt;=D32,(I14*G32), (0))),(0))),(0))),(0))),(0))),(0))),(0))),(0))))+IF(C28="SI",(IF(C29="NO",(IF(C30="NO",(IF(C31="NO",(IF(C32="NO",(IF(C33="SI",(IF(C34="NO",(IF(I14&gt;=D33,(I14*E33), (0))),(0))),(0))),(0))),(0))),(0))),(0))),(IF(C28="NO",(IF(C29="NO",(IF(C30="NO",(IF(C31="NO",(IF(C32="NO",(IF(C33="SI",(IF(C34="NO",(IF(I14&gt;=D33,(I14*G33), (0))),(0))),(0))),(0))),(0))),(0))),(0))),(0))))</f>
        <v>828000</v>
      </c>
      <c r="I12" s="140" t="s">
        <v>254</v>
      </c>
      <c r="J12" s="56">
        <f>+MROUND(H12,1000)</f>
        <v>828000</v>
      </c>
      <c r="K12"/>
    </row>
    <row r="13" spans="1:29" ht="32.25" customHeight="1" x14ac:dyDescent="0.25">
      <c r="A13" s="45" t="s">
        <v>20</v>
      </c>
      <c r="B13" s="46" t="s">
        <v>21</v>
      </c>
      <c r="C13" s="59"/>
      <c r="D13" s="50"/>
      <c r="E13" s="50"/>
      <c r="F13" s="51"/>
      <c r="G13" s="137"/>
      <c r="H13" s="147">
        <f>IF(C28="SI",(IF(C29="NO",(IF(C30="NO",(IF(C31="NO",(IF(C32="NO",(IF(C33="NO",(IF(C34="SI",(IF(I14&gt;=D34,((I14*E34)+(I14*H29)), (0))),(0))),(0))),(0))),(0))),(0))),(0))),(IF(C28="NO",(IF(C29="NO",(IF(C30="NO",(IF(C31="NO",(IF(C32="NO",(IF(C33="NO",(IF(C34="SI",(IF(I14&gt;=D34,((I14*G34)+(I14*H29)), (0))),(0))),(0))),(0))),(0))),(0))),(0))),(0))))</f>
        <v>0</v>
      </c>
      <c r="I13" s="140" t="s">
        <v>255</v>
      </c>
      <c r="J13" s="56">
        <f>+MROUND(H13,1000)</f>
        <v>0</v>
      </c>
      <c r="K13"/>
      <c r="W13" s="51"/>
    </row>
    <row r="14" spans="1:29" x14ac:dyDescent="0.25">
      <c r="A14" s="45" t="s">
        <v>22</v>
      </c>
      <c r="B14" s="46"/>
      <c r="C14" s="59"/>
      <c r="D14" s="50"/>
      <c r="E14" s="50"/>
      <c r="F14" s="51"/>
      <c r="G14" s="244" t="s">
        <v>23</v>
      </c>
      <c r="H14" s="244"/>
      <c r="I14" s="35">
        <v>8280000</v>
      </c>
      <c r="W14" s="51" t="s">
        <v>216</v>
      </c>
    </row>
    <row r="15" spans="1:29" ht="14.45" customHeight="1" x14ac:dyDescent="0.25">
      <c r="A15" s="45" t="s">
        <v>24</v>
      </c>
      <c r="B15" s="46" t="s">
        <v>25</v>
      </c>
      <c r="C15" s="59" t="s">
        <v>159</v>
      </c>
      <c r="D15" s="50"/>
      <c r="E15" s="50"/>
      <c r="F15" s="60"/>
      <c r="G15" s="245" t="s">
        <v>26</v>
      </c>
      <c r="H15" s="245"/>
      <c r="I15" s="109"/>
      <c r="J15" s="61"/>
      <c r="K15" s="61"/>
      <c r="N15" s="175" t="s">
        <v>27</v>
      </c>
      <c r="O15" s="175"/>
      <c r="P15" s="175"/>
      <c r="Q15" s="175"/>
      <c r="R15" s="175"/>
      <c r="S15" s="175"/>
      <c r="T15" s="175"/>
      <c r="U15" s="175"/>
      <c r="V15" s="175"/>
      <c r="W15" s="175"/>
      <c r="X15" s="175"/>
      <c r="Y15" s="175"/>
      <c r="Z15" s="175"/>
      <c r="AA15" s="175"/>
      <c r="AB15" s="175"/>
      <c r="AC15" s="175"/>
    </row>
    <row r="16" spans="1:29" ht="15.75" customHeight="1" x14ac:dyDescent="0.25">
      <c r="A16" s="45" t="s">
        <v>28</v>
      </c>
      <c r="B16" s="62" t="s">
        <v>29</v>
      </c>
      <c r="C16" s="59" t="s">
        <v>157</v>
      </c>
      <c r="D16" s="50"/>
      <c r="E16" s="50"/>
      <c r="F16" s="60"/>
      <c r="G16" s="234" t="s">
        <v>30</v>
      </c>
      <c r="H16" s="234"/>
      <c r="I16" s="63">
        <f>+I14+I15</f>
        <v>8280000</v>
      </c>
      <c r="J16" s="61"/>
      <c r="K16" s="61"/>
      <c r="N16" s="64" t="s">
        <v>31</v>
      </c>
      <c r="O16" s="175" t="s">
        <v>32</v>
      </c>
      <c r="P16" s="175"/>
      <c r="Q16" s="175"/>
      <c r="R16" s="175"/>
      <c r="S16" s="175"/>
      <c r="T16" s="175"/>
      <c r="U16" s="176" t="s">
        <v>33</v>
      </c>
      <c r="V16" s="176"/>
      <c r="W16" s="65" t="s">
        <v>34</v>
      </c>
      <c r="X16" s="66" t="s">
        <v>35</v>
      </c>
      <c r="Y16" s="66" t="s">
        <v>36</v>
      </c>
      <c r="Z16" s="67" t="s">
        <v>37</v>
      </c>
      <c r="AA16" s="67" t="s">
        <v>38</v>
      </c>
      <c r="AB16" s="66" t="s">
        <v>39</v>
      </c>
      <c r="AC16" s="68" t="s">
        <v>40</v>
      </c>
    </row>
    <row r="17" spans="1:29" ht="15" customHeight="1" x14ac:dyDescent="0.25">
      <c r="A17" s="45" t="s">
        <v>41</v>
      </c>
      <c r="B17" s="46" t="s">
        <v>42</v>
      </c>
      <c r="C17" s="36" t="s">
        <v>297</v>
      </c>
      <c r="D17" s="50" t="s">
        <v>285</v>
      </c>
      <c r="E17" s="50"/>
      <c r="F17" s="60"/>
      <c r="G17" s="237" t="s">
        <v>43</v>
      </c>
      <c r="H17" s="237"/>
      <c r="I17" s="37"/>
      <c r="J17" s="61"/>
      <c r="K17" s="135">
        <f>SUM(J9:J13)</f>
        <v>828000</v>
      </c>
      <c r="L17" s="55" t="s">
        <v>166</v>
      </c>
      <c r="N17" s="70">
        <v>1</v>
      </c>
      <c r="O17" s="238" t="s">
        <v>293</v>
      </c>
      <c r="P17" s="239"/>
      <c r="Q17" s="239"/>
      <c r="R17" s="239"/>
      <c r="S17" s="239"/>
      <c r="T17" s="239"/>
      <c r="U17" s="240" t="s">
        <v>306</v>
      </c>
      <c r="V17" s="241"/>
      <c r="W17" s="38">
        <v>8280000</v>
      </c>
      <c r="X17" s="154"/>
      <c r="Y17" s="154"/>
      <c r="Z17" s="154"/>
      <c r="AA17" s="154"/>
      <c r="AB17" s="71">
        <f>Z17+AA17</f>
        <v>0</v>
      </c>
      <c r="AC17" s="235">
        <f>MAX(AB17,AB18,AB19,AB20,AB21)</f>
        <v>0</v>
      </c>
    </row>
    <row r="18" spans="1:29" ht="15" customHeight="1" x14ac:dyDescent="0.25">
      <c r="A18" s="45" t="s">
        <v>44</v>
      </c>
      <c r="B18" s="46" t="s">
        <v>174</v>
      </c>
      <c r="C18" s="36" t="s">
        <v>298</v>
      </c>
      <c r="D18" s="50" t="s">
        <v>160</v>
      </c>
      <c r="E18" s="50"/>
      <c r="F18" s="60"/>
      <c r="G18" s="236" t="s">
        <v>45</v>
      </c>
      <c r="H18" s="236"/>
      <c r="I18" s="72">
        <f>+I16+I17</f>
        <v>8280000</v>
      </c>
      <c r="J18" s="61"/>
      <c r="K18" s="69">
        <f>+I18-K17</f>
        <v>7452000</v>
      </c>
      <c r="L18" s="55" t="s">
        <v>167</v>
      </c>
      <c r="N18" s="70">
        <v>2</v>
      </c>
      <c r="O18" s="177"/>
      <c r="P18" s="178"/>
      <c r="Q18" s="178"/>
      <c r="R18" s="178"/>
      <c r="S18" s="178"/>
      <c r="T18" s="181"/>
      <c r="U18" s="179"/>
      <c r="V18" s="180"/>
      <c r="W18" s="155"/>
      <c r="X18" s="156"/>
      <c r="Y18" s="154"/>
      <c r="Z18" s="154"/>
      <c r="AA18" s="154"/>
      <c r="AB18" s="71">
        <f>Z18+AA18</f>
        <v>0</v>
      </c>
      <c r="AC18" s="235"/>
    </row>
    <row r="19" spans="1:29" x14ac:dyDescent="0.25">
      <c r="A19" s="45" t="s">
        <v>46</v>
      </c>
      <c r="B19" s="46" t="s">
        <v>173</v>
      </c>
      <c r="C19" s="116" t="str">
        <f>+C18</f>
        <v>004-2020</v>
      </c>
      <c r="D19" s="73" t="s">
        <v>160</v>
      </c>
      <c r="K19" s="69">
        <f>+K17+K18</f>
        <v>8280000</v>
      </c>
      <c r="L19" s="55" t="s">
        <v>168</v>
      </c>
      <c r="N19" s="70">
        <v>3</v>
      </c>
      <c r="O19" s="182"/>
      <c r="P19" s="178"/>
      <c r="Q19" s="178"/>
      <c r="R19" s="178"/>
      <c r="S19" s="178"/>
      <c r="T19" s="181"/>
      <c r="U19" s="183"/>
      <c r="V19" s="180"/>
      <c r="W19" s="155"/>
      <c r="X19" s="156"/>
      <c r="Y19" s="154"/>
      <c r="Z19" s="154"/>
      <c r="AA19" s="154"/>
      <c r="AB19" s="71">
        <f>Z19+AA19</f>
        <v>0</v>
      </c>
      <c r="AC19" s="235"/>
    </row>
    <row r="20" spans="1:29" x14ac:dyDescent="0.25">
      <c r="A20" s="45" t="s">
        <v>47</v>
      </c>
      <c r="B20" s="46" t="s">
        <v>48</v>
      </c>
      <c r="C20" s="40">
        <v>8280000</v>
      </c>
      <c r="D20" s="50" t="s">
        <v>164</v>
      </c>
      <c r="E20" s="47"/>
      <c r="N20" s="75">
        <v>4</v>
      </c>
      <c r="O20" s="182"/>
      <c r="P20" s="178"/>
      <c r="Q20" s="178"/>
      <c r="R20" s="178"/>
      <c r="S20" s="178"/>
      <c r="T20" s="181"/>
      <c r="U20" s="183"/>
      <c r="V20" s="180"/>
      <c r="W20" s="157"/>
      <c r="X20" s="156"/>
      <c r="Y20" s="154"/>
      <c r="Z20" s="154"/>
      <c r="AA20" s="154"/>
      <c r="AB20" s="71">
        <f>Z20+AA20</f>
        <v>0</v>
      </c>
      <c r="AC20" s="235"/>
    </row>
    <row r="21" spans="1:29" x14ac:dyDescent="0.25">
      <c r="A21" s="45" t="s">
        <v>49</v>
      </c>
      <c r="B21" s="76" t="s">
        <v>50</v>
      </c>
      <c r="C21" s="39" t="s">
        <v>299</v>
      </c>
      <c r="D21" s="50" t="s">
        <v>196</v>
      </c>
      <c r="E21" s="47"/>
      <c r="N21" s="75">
        <v>5</v>
      </c>
      <c r="O21" s="182"/>
      <c r="P21" s="178"/>
      <c r="Q21" s="178"/>
      <c r="R21" s="178"/>
      <c r="S21" s="178"/>
      <c r="T21" s="181"/>
      <c r="U21" s="242"/>
      <c r="V21" s="242"/>
      <c r="W21" s="155"/>
      <c r="X21" s="154"/>
      <c r="Y21" s="154"/>
      <c r="Z21" s="154"/>
      <c r="AA21" s="154"/>
      <c r="AB21" s="71">
        <f>Z21+AA21</f>
        <v>0</v>
      </c>
      <c r="AC21" s="235"/>
    </row>
    <row r="22" spans="1:29" x14ac:dyDescent="0.25">
      <c r="A22" s="45" t="s">
        <v>51</v>
      </c>
      <c r="B22" s="46" t="s">
        <v>126</v>
      </c>
      <c r="C22" s="33" t="s">
        <v>296</v>
      </c>
      <c r="D22" s="50" t="s">
        <v>171</v>
      </c>
      <c r="E22" s="47"/>
      <c r="N22" s="121"/>
      <c r="O22"/>
      <c r="P22"/>
      <c r="Q22"/>
      <c r="R22"/>
      <c r="S22"/>
      <c r="T22"/>
      <c r="U22"/>
      <c r="V22"/>
      <c r="W22"/>
    </row>
    <row r="23" spans="1:29" x14ac:dyDescent="0.25">
      <c r="A23" s="45" t="s">
        <v>52</v>
      </c>
      <c r="B23" s="46" t="s">
        <v>53</v>
      </c>
      <c r="C23" s="59" t="str">
        <f>+J45</f>
        <v>30 de marzo de 2020</v>
      </c>
      <c r="D23" s="47"/>
      <c r="E23" s="47"/>
      <c r="N23" s="121"/>
      <c r="O23"/>
      <c r="P23"/>
      <c r="Q23"/>
      <c r="R23"/>
      <c r="S23"/>
      <c r="T23"/>
      <c r="U23"/>
      <c r="V23"/>
      <c r="W23"/>
    </row>
    <row r="24" spans="1:29" ht="15.75" customHeight="1" x14ac:dyDescent="0.25">
      <c r="A24" s="45" t="s">
        <v>55</v>
      </c>
      <c r="B24" s="46" t="s">
        <v>176</v>
      </c>
      <c r="C24" s="116" t="str">
        <f>+C18</f>
        <v>004-2020</v>
      </c>
      <c r="D24" s="73" t="s">
        <v>160</v>
      </c>
      <c r="H24" s="77"/>
      <c r="I24" s="51"/>
      <c r="N24" s="171" t="s">
        <v>217</v>
      </c>
      <c r="O24" s="171"/>
      <c r="P24" s="171"/>
      <c r="Q24" s="171"/>
      <c r="R24" s="171"/>
      <c r="S24" s="171"/>
      <c r="T24" s="171"/>
      <c r="U24" s="171"/>
      <c r="V24" s="171"/>
      <c r="W24" s="171"/>
    </row>
    <row r="25" spans="1:29" ht="15" customHeight="1" x14ac:dyDescent="0.25">
      <c r="A25" s="45" t="s">
        <v>62</v>
      </c>
      <c r="B25" s="46" t="s">
        <v>121</v>
      </c>
      <c r="C25" s="34" t="s">
        <v>300</v>
      </c>
      <c r="D25" s="73" t="s">
        <v>161</v>
      </c>
      <c r="E25" s="47"/>
      <c r="H25" s="51"/>
      <c r="I25" s="51"/>
      <c r="N25" s="64" t="s">
        <v>31</v>
      </c>
      <c r="O25" s="175" t="s">
        <v>32</v>
      </c>
      <c r="P25" s="175"/>
      <c r="Q25" s="175"/>
      <c r="R25" s="175"/>
      <c r="S25" s="175"/>
      <c r="T25" s="175"/>
      <c r="U25" s="176" t="s">
        <v>33</v>
      </c>
      <c r="V25" s="176"/>
      <c r="W25" s="118" t="s">
        <v>34</v>
      </c>
    </row>
    <row r="26" spans="1:29" x14ac:dyDescent="0.25">
      <c r="A26" s="45" t="s">
        <v>64</v>
      </c>
      <c r="B26" s="46" t="s">
        <v>65</v>
      </c>
      <c r="C26" s="36" t="s">
        <v>301</v>
      </c>
      <c r="D26" s="50" t="s">
        <v>163</v>
      </c>
      <c r="E26" s="47"/>
      <c r="H26" s="51"/>
      <c r="I26" s="51"/>
      <c r="N26" s="70">
        <v>1</v>
      </c>
      <c r="O26" s="177"/>
      <c r="P26" s="178"/>
      <c r="Q26" s="178"/>
      <c r="R26" s="178"/>
      <c r="S26" s="178"/>
      <c r="T26" s="178"/>
      <c r="U26" s="179"/>
      <c r="V26" s="180"/>
      <c r="W26" s="155"/>
    </row>
    <row r="27" spans="1:29" x14ac:dyDescent="0.25">
      <c r="A27" s="45" t="s">
        <v>66</v>
      </c>
      <c r="B27" s="46" t="s">
        <v>177</v>
      </c>
      <c r="C27" s="116" t="str">
        <f>+C18</f>
        <v>004-2020</v>
      </c>
      <c r="D27" s="73" t="s">
        <v>160</v>
      </c>
      <c r="E27" s="47"/>
      <c r="H27" s="81"/>
      <c r="I27" s="51"/>
      <c r="N27" s="70">
        <v>2</v>
      </c>
      <c r="O27" s="177"/>
      <c r="P27" s="178"/>
      <c r="Q27" s="178"/>
      <c r="R27" s="178"/>
      <c r="S27" s="178"/>
      <c r="T27" s="181"/>
      <c r="U27" s="179"/>
      <c r="V27" s="180"/>
      <c r="W27" s="155"/>
    </row>
    <row r="28" spans="1:29" ht="30" x14ac:dyDescent="0.25">
      <c r="A28" s="45" t="s">
        <v>67</v>
      </c>
      <c r="B28" s="76" t="s">
        <v>68</v>
      </c>
      <c r="C28" s="142" t="s">
        <v>302</v>
      </c>
      <c r="D28" s="127" t="s">
        <v>248</v>
      </c>
      <c r="E28" s="129" t="s">
        <v>249</v>
      </c>
      <c r="F28" s="130"/>
      <c r="G28" s="129" t="s">
        <v>250</v>
      </c>
      <c r="H28" s="129" t="s">
        <v>251</v>
      </c>
      <c r="I28" s="51"/>
      <c r="N28" s="70">
        <v>3</v>
      </c>
      <c r="O28" s="182"/>
      <c r="P28" s="178"/>
      <c r="Q28" s="178"/>
      <c r="R28" s="178"/>
      <c r="S28" s="178"/>
      <c r="T28" s="181"/>
      <c r="U28" s="183"/>
      <c r="V28" s="180"/>
      <c r="W28" s="155"/>
    </row>
    <row r="29" spans="1:29" ht="15.75" customHeight="1" x14ac:dyDescent="0.25">
      <c r="A29" s="45" t="s">
        <v>70</v>
      </c>
      <c r="B29" s="76" t="s">
        <v>71</v>
      </c>
      <c r="C29" s="33" t="s">
        <v>302</v>
      </c>
      <c r="D29" s="128">
        <v>142000</v>
      </c>
      <c r="E29" s="131">
        <v>0.04</v>
      </c>
      <c r="F29" s="132"/>
      <c r="G29" s="133">
        <v>0.06</v>
      </c>
      <c r="H29" s="134">
        <v>0.05</v>
      </c>
      <c r="I29" s="51"/>
      <c r="N29" s="75">
        <v>4</v>
      </c>
      <c r="O29" s="182"/>
      <c r="P29" s="178"/>
      <c r="Q29" s="178"/>
      <c r="R29" s="178"/>
      <c r="S29" s="178"/>
      <c r="T29" s="181"/>
      <c r="U29" s="183"/>
      <c r="V29" s="180"/>
      <c r="W29" s="157"/>
    </row>
    <row r="30" spans="1:29" ht="15.75" customHeight="1" x14ac:dyDescent="0.25">
      <c r="A30" s="45" t="s">
        <v>73</v>
      </c>
      <c r="B30" s="76" t="s">
        <v>238</v>
      </c>
      <c r="C30" s="33" t="s">
        <v>302</v>
      </c>
      <c r="D30" s="128">
        <v>961000</v>
      </c>
      <c r="E30" s="131">
        <v>2.5000000000000001E-2</v>
      </c>
      <c r="F30" s="132"/>
      <c r="G30" s="133">
        <v>3.5000000000000003E-2</v>
      </c>
      <c r="H30" s="81"/>
      <c r="I30" s="51"/>
      <c r="N30" s="121"/>
      <c r="O30" s="148"/>
      <c r="P30" s="149"/>
      <c r="Q30" s="149"/>
      <c r="R30" s="149"/>
      <c r="S30" s="149"/>
      <c r="T30" s="149"/>
      <c r="U30" s="150"/>
      <c r="V30" s="150"/>
      <c r="W30" s="151"/>
    </row>
    <row r="31" spans="1:29" ht="15.75" customHeight="1" x14ac:dyDescent="0.25">
      <c r="A31" s="45" t="s">
        <v>74</v>
      </c>
      <c r="B31" s="76" t="s">
        <v>243</v>
      </c>
      <c r="C31" s="33" t="s">
        <v>302</v>
      </c>
      <c r="D31" s="128">
        <v>961000</v>
      </c>
      <c r="E31" s="131">
        <v>3.5000000000000003E-2</v>
      </c>
      <c r="F31" s="132"/>
      <c r="G31" s="133">
        <v>3.5000000000000003E-2</v>
      </c>
      <c r="H31" s="81"/>
      <c r="I31" s="51"/>
      <c r="N31" s="121"/>
      <c r="O31" s="148"/>
      <c r="P31" s="149"/>
      <c r="Q31" s="149"/>
      <c r="R31" s="149"/>
      <c r="S31" s="149"/>
      <c r="T31" s="149"/>
      <c r="U31" s="150"/>
      <c r="V31" s="150"/>
      <c r="W31" s="151"/>
    </row>
    <row r="32" spans="1:29" ht="15.75" customHeight="1" x14ac:dyDescent="0.25">
      <c r="A32" s="45" t="s">
        <v>76</v>
      </c>
      <c r="B32" s="76" t="s">
        <v>244</v>
      </c>
      <c r="C32" s="33" t="s">
        <v>303</v>
      </c>
      <c r="D32" s="128">
        <v>0</v>
      </c>
      <c r="E32" s="131">
        <v>0.1</v>
      </c>
      <c r="F32" s="132"/>
      <c r="G32" s="133">
        <v>0.1</v>
      </c>
      <c r="H32" s="81"/>
      <c r="I32" s="51"/>
      <c r="N32" s="121"/>
      <c r="O32" s="148"/>
      <c r="P32" s="149"/>
      <c r="Q32" s="149"/>
      <c r="R32" s="149"/>
      <c r="S32" s="149"/>
      <c r="T32" s="149"/>
      <c r="U32" s="150"/>
      <c r="V32" s="150"/>
      <c r="W32" s="151"/>
    </row>
    <row r="33" spans="1:23" ht="15.75" customHeight="1" x14ac:dyDescent="0.25">
      <c r="A33" s="45" t="s">
        <v>77</v>
      </c>
      <c r="B33" s="76" t="s">
        <v>246</v>
      </c>
      <c r="C33" s="33" t="s">
        <v>302</v>
      </c>
      <c r="D33" s="128">
        <v>0</v>
      </c>
      <c r="E33" s="131">
        <v>3.5000000000000003E-2</v>
      </c>
      <c r="F33" s="132"/>
      <c r="G33" s="133">
        <v>3.5000000000000003E-2</v>
      </c>
      <c r="H33" s="81"/>
      <c r="I33" s="51"/>
      <c r="N33" s="121"/>
      <c r="O33" s="148"/>
      <c r="P33" s="149"/>
      <c r="Q33" s="149"/>
      <c r="R33" s="149"/>
      <c r="S33" s="149"/>
      <c r="T33" s="149"/>
      <c r="U33" s="150"/>
      <c r="V33" s="150"/>
      <c r="W33" s="151"/>
    </row>
    <row r="34" spans="1:23" ht="15.75" customHeight="1" x14ac:dyDescent="0.25">
      <c r="A34" s="45" t="s">
        <v>78</v>
      </c>
      <c r="B34" s="76" t="s">
        <v>247</v>
      </c>
      <c r="C34" s="33" t="s">
        <v>302</v>
      </c>
      <c r="D34" s="128">
        <v>0</v>
      </c>
      <c r="E34" s="131">
        <v>0.02</v>
      </c>
      <c r="F34" s="132"/>
      <c r="G34" s="133">
        <v>0.02</v>
      </c>
      <c r="H34" s="81"/>
      <c r="I34" s="51"/>
      <c r="N34" s="121"/>
      <c r="O34" s="148"/>
      <c r="P34" s="149"/>
      <c r="Q34" s="149"/>
      <c r="R34" s="149"/>
      <c r="S34" s="149"/>
      <c r="T34" s="149"/>
      <c r="U34" s="150"/>
      <c r="V34" s="150"/>
      <c r="W34" s="151"/>
    </row>
    <row r="35" spans="1:23" ht="29.1" customHeight="1" x14ac:dyDescent="0.25">
      <c r="A35" s="45" t="s">
        <v>79</v>
      </c>
      <c r="B35" s="46" t="s">
        <v>175</v>
      </c>
      <c r="C35" s="117" t="str">
        <f>+C18</f>
        <v>004-2020</v>
      </c>
      <c r="D35" s="73" t="s">
        <v>160</v>
      </c>
      <c r="E35" s="47"/>
      <c r="H35" s="51"/>
      <c r="N35" s="121"/>
      <c r="O35"/>
      <c r="P35"/>
      <c r="Q35"/>
      <c r="R35"/>
      <c r="S35"/>
      <c r="T35"/>
      <c r="U35"/>
      <c r="V35"/>
      <c r="W35"/>
    </row>
    <row r="36" spans="1:23" ht="29.1" customHeight="1" x14ac:dyDescent="0.25">
      <c r="A36" s="45" t="s">
        <v>81</v>
      </c>
      <c r="B36" s="46" t="s">
        <v>134</v>
      </c>
      <c r="C36" s="83" t="str">
        <f>+C17</f>
        <v>31 de diciembre de 2020</v>
      </c>
      <c r="D36" s="73" t="s">
        <v>169</v>
      </c>
      <c r="E36" s="47"/>
      <c r="H36" s="51"/>
      <c r="N36" s="201" t="s">
        <v>54</v>
      </c>
      <c r="O36" s="202"/>
      <c r="P36" s="202"/>
      <c r="Q36" s="202"/>
      <c r="R36" s="202"/>
      <c r="S36" s="202"/>
      <c r="T36" s="202"/>
      <c r="U36" s="202"/>
      <c r="V36" s="202"/>
      <c r="W36" s="203"/>
    </row>
    <row r="37" spans="1:23" ht="29.1" customHeight="1" x14ac:dyDescent="0.25">
      <c r="A37" s="45" t="s">
        <v>85</v>
      </c>
      <c r="B37" s="46" t="s">
        <v>139</v>
      </c>
      <c r="C37" s="33" t="s">
        <v>301</v>
      </c>
      <c r="D37" s="50" t="s">
        <v>162</v>
      </c>
      <c r="E37" s="47"/>
      <c r="H37" s="51"/>
      <c r="I37" s="51"/>
      <c r="N37" s="213" t="s">
        <v>56</v>
      </c>
      <c r="O37" s="214"/>
      <c r="P37" s="214"/>
      <c r="Q37" s="214"/>
      <c r="R37" s="215"/>
      <c r="S37" s="78" t="s">
        <v>57</v>
      </c>
      <c r="T37" s="78" t="s">
        <v>58</v>
      </c>
      <c r="U37" s="78" t="s">
        <v>59</v>
      </c>
      <c r="V37" s="78" t="s">
        <v>60</v>
      </c>
      <c r="W37" s="78" t="s">
        <v>61</v>
      </c>
    </row>
    <row r="38" spans="1:23" ht="17.45" customHeight="1" x14ac:dyDescent="0.25">
      <c r="A38" s="45" t="s">
        <v>147</v>
      </c>
      <c r="B38" s="46" t="s">
        <v>140</v>
      </c>
      <c r="C38" s="83" t="str">
        <f>+C17</f>
        <v>31 de diciembre de 2020</v>
      </c>
      <c r="D38" s="50" t="s">
        <v>158</v>
      </c>
      <c r="E38" s="47"/>
      <c r="H38" s="51"/>
      <c r="I38" s="51"/>
      <c r="N38" s="216" t="s">
        <v>63</v>
      </c>
      <c r="O38" s="217"/>
      <c r="P38" s="217"/>
      <c r="Q38" s="217"/>
      <c r="R38" s="218"/>
      <c r="S38" s="79" t="str">
        <f>IF(O17&lt;&gt;"",IF(Y17="si","Cumplió",IF(Y17="No","No Hábil","√")),"N/A")</f>
        <v>√</v>
      </c>
      <c r="T38" s="80" t="str">
        <f>IF(O18&lt;&gt;"",IF(Y18="si","Cumplió",IF(Y18="No","No Hábil","√")),"N/A")</f>
        <v>N/A</v>
      </c>
      <c r="U38" s="80" t="str">
        <f>IF(O19&lt;&gt;"",IF(Y19="si","Cumplió",IF(Y19="No","No Hábil","√")),"N/A")</f>
        <v>N/A</v>
      </c>
      <c r="V38" s="80" t="str">
        <f>IF(O20&lt;&gt;"",IF(Y20="si","Cumplió",IF(Y20="No","No Hábil","√")),"N/A")</f>
        <v>N/A</v>
      </c>
      <c r="W38" s="80" t="str">
        <f>IF(O21&lt;&gt;"",IF(Y21="si","Cumplió",IF(Y21="No","No Hábil","√")),"N/A")</f>
        <v>N/A</v>
      </c>
    </row>
    <row r="39" spans="1:23" x14ac:dyDescent="0.25">
      <c r="A39" s="45" t="s">
        <v>202</v>
      </c>
      <c r="B39" s="85" t="s">
        <v>148</v>
      </c>
      <c r="C39" s="116" t="str">
        <f>+C21</f>
        <v>9 MESES</v>
      </c>
      <c r="D39" s="50" t="s">
        <v>197</v>
      </c>
      <c r="E39" s="47"/>
      <c r="H39" s="51"/>
      <c r="I39" s="51"/>
      <c r="N39" s="219"/>
      <c r="O39" s="220"/>
      <c r="P39" s="220"/>
      <c r="Q39" s="220"/>
      <c r="R39" s="221"/>
      <c r="S39" s="222"/>
      <c r="T39" s="223"/>
      <c r="U39" s="223"/>
      <c r="V39" s="223"/>
      <c r="W39" s="224"/>
    </row>
    <row r="40" spans="1:23" ht="17.45" customHeight="1" x14ac:dyDescent="0.25">
      <c r="A40" s="45" t="s">
        <v>227</v>
      </c>
      <c r="B40" s="46" t="s">
        <v>141</v>
      </c>
      <c r="C40" s="36" t="s">
        <v>304</v>
      </c>
      <c r="D40" s="50" t="s">
        <v>170</v>
      </c>
      <c r="E40" s="47"/>
      <c r="H40" s="51"/>
      <c r="I40" s="51"/>
      <c r="O40" s="82"/>
      <c r="P40" s="82"/>
      <c r="Q40" s="82"/>
      <c r="R40" s="82"/>
      <c r="S40" s="82"/>
      <c r="T40" s="82"/>
      <c r="U40" s="82"/>
    </row>
    <row r="41" spans="1:23" ht="17.45" customHeight="1" x14ac:dyDescent="0.25">
      <c r="A41" s="45" t="s">
        <v>229</v>
      </c>
      <c r="B41" s="46" t="s">
        <v>142</v>
      </c>
      <c r="C41" s="36">
        <v>2930270</v>
      </c>
      <c r="D41" s="50" t="s">
        <v>170</v>
      </c>
      <c r="E41" s="47"/>
      <c r="H41" s="51"/>
      <c r="I41" s="51"/>
      <c r="N41" s="201" t="s">
        <v>69</v>
      </c>
      <c r="O41" s="202"/>
      <c r="P41" s="202"/>
      <c r="Q41" s="202"/>
      <c r="R41" s="202"/>
      <c r="S41" s="202"/>
      <c r="T41" s="202"/>
      <c r="U41" s="202"/>
      <c r="V41" s="202"/>
      <c r="W41" s="203"/>
    </row>
    <row r="42" spans="1:23" ht="17.45" customHeight="1" x14ac:dyDescent="0.25">
      <c r="A42" s="45" t="s">
        <v>231</v>
      </c>
      <c r="B42" s="46" t="s">
        <v>143</v>
      </c>
      <c r="C42" s="41" t="s">
        <v>305</v>
      </c>
      <c r="D42" s="50" t="s">
        <v>170</v>
      </c>
      <c r="N42" s="225" t="s">
        <v>72</v>
      </c>
      <c r="O42" s="226"/>
      <c r="P42" s="226"/>
      <c r="Q42" s="226"/>
      <c r="R42" s="227"/>
      <c r="S42" s="78" t="s">
        <v>57</v>
      </c>
      <c r="T42" s="78" t="s">
        <v>58</v>
      </c>
      <c r="U42" s="78" t="s">
        <v>59</v>
      </c>
      <c r="V42" s="78" t="s">
        <v>60</v>
      </c>
      <c r="W42" s="78" t="s">
        <v>61</v>
      </c>
    </row>
    <row r="43" spans="1:23" ht="34.5" customHeight="1" x14ac:dyDescent="0.25">
      <c r="A43" s="45" t="s">
        <v>239</v>
      </c>
      <c r="B43" s="46" t="s">
        <v>155</v>
      </c>
      <c r="C43" s="59" t="str">
        <f>+C17</f>
        <v>31 de diciembre de 2020</v>
      </c>
      <c r="H43" s="252" t="s">
        <v>80</v>
      </c>
      <c r="I43" s="252"/>
      <c r="J43" s="252"/>
      <c r="K43" s="252"/>
      <c r="N43" s="172" t="s">
        <v>234</v>
      </c>
      <c r="O43" s="172"/>
      <c r="P43" s="172"/>
      <c r="Q43" s="172"/>
      <c r="R43" s="172"/>
      <c r="S43" s="80" t="str">
        <f>IF(C47="SI","Cumplió","No Requiere")</f>
        <v>No Requiere</v>
      </c>
      <c r="T43" s="80" t="str">
        <f xml:space="preserve"> IF($T$38="Cumplió",IF($Y$18="si","Cumplió",  "No Evaluado"),IF($T$38="No Hábil", "No Hábil","N/A"))</f>
        <v>N/A</v>
      </c>
      <c r="U43" s="80" t="str">
        <f xml:space="preserve"> IF($U$38="Cumplió",IF($Y$19="si","Cumplió",  "No Evaluado"),IF($U$38="No Hábil", "No Hábil","N/A"))</f>
        <v>N/A</v>
      </c>
      <c r="V43" s="80" t="str">
        <f xml:space="preserve"> IF($V$38="Cumplió",IF($Y$20="si","Cumplió",  "No Evaluado"),IF($V$38="No Hábil", "No Hábil","N/A"))</f>
        <v>N/A</v>
      </c>
      <c r="W43" s="80" t="str">
        <f xml:space="preserve"> IF($W$38="Cumplió",IF($Y$21="si","Cumplió",  "No Evaluado"),IF($W$38="No Hábil", "No Hábil","N/A"))</f>
        <v>N/A</v>
      </c>
    </row>
    <row r="44" spans="1:23" ht="34.5" customHeight="1" x14ac:dyDescent="0.25">
      <c r="A44" s="45" t="s">
        <v>240</v>
      </c>
      <c r="B44" s="115" t="s">
        <v>203</v>
      </c>
      <c r="C44" s="161"/>
      <c r="D44" s="50" t="s">
        <v>204</v>
      </c>
      <c r="H44" s="88" t="s">
        <v>82</v>
      </c>
      <c r="I44" s="88" t="s">
        <v>83</v>
      </c>
      <c r="J44" s="88" t="s">
        <v>84</v>
      </c>
      <c r="K44" s="88" t="s">
        <v>113</v>
      </c>
      <c r="N44" s="172" t="s">
        <v>220</v>
      </c>
      <c r="O44" s="172"/>
      <c r="P44" s="172"/>
      <c r="Q44" s="172"/>
      <c r="R44" s="172"/>
      <c r="S44" s="80" t="str">
        <f xml:space="preserve"> IF($S$38="Cumplió",IF($Y$17="si","Cumplió",  "No Evaluado"),IF($S$38="No Hábil", "No Hábil","N/A"))</f>
        <v>N/A</v>
      </c>
      <c r="T44" s="80" t="str">
        <f t="shared" ref="T44:T51" si="0" xml:space="preserve"> IF($T$38="Cumplió",IF($Y$18="si","Cumplió",  "No Evaluado"),IF($T$38="No Hábil", "No Hábil","N/A"))</f>
        <v>N/A</v>
      </c>
      <c r="U44" s="80" t="str">
        <f t="shared" ref="U44:U51" si="1" xml:space="preserve"> IF($U$38="Cumplió",IF($Y$19="si","Cumplió",  "No Evaluado"),IF($U$38="No Hábil", "No Hábil","N/A"))</f>
        <v>N/A</v>
      </c>
      <c r="V44" s="80" t="str">
        <f t="shared" ref="V44:V51" si="2" xml:space="preserve"> IF($V$38="Cumplió",IF($Y$20="si","Cumplió",  "No Evaluado"),IF($V$38="No Hábil", "No Hábil","N/A"))</f>
        <v>N/A</v>
      </c>
      <c r="W44" s="80" t="str">
        <f t="shared" ref="W44:W51" si="3" xml:space="preserve"> IF($W$38="Cumplió",IF($Y$21="si","Cumplió",  "No Evaluado"),IF($W$38="No Hábil", "No Hábil","N/A"))</f>
        <v>N/A</v>
      </c>
    </row>
    <row r="45" spans="1:23" ht="35.450000000000003" customHeight="1" x14ac:dyDescent="0.25">
      <c r="A45" s="45" t="s">
        <v>241</v>
      </c>
      <c r="B45" s="115" t="s">
        <v>228</v>
      </c>
      <c r="C45" s="161"/>
      <c r="D45" s="248" t="s">
        <v>189</v>
      </c>
      <c r="E45" s="248"/>
      <c r="F45" s="58"/>
      <c r="G45" s="58"/>
      <c r="H45" s="251" t="s">
        <v>103</v>
      </c>
      <c r="I45" s="89" t="s">
        <v>199</v>
      </c>
      <c r="J45" s="228" t="str">
        <f>+C26</f>
        <v>30 de marzo de 2020</v>
      </c>
      <c r="K45" s="231" t="s">
        <v>103</v>
      </c>
      <c r="N45" s="172" t="s">
        <v>75</v>
      </c>
      <c r="O45" s="172"/>
      <c r="P45" s="172"/>
      <c r="Q45" s="172"/>
      <c r="R45" s="172"/>
      <c r="S45" s="80" t="str">
        <f t="shared" ref="S45:S50" si="4" xml:space="preserve"> IF($S$38="Cumplió",IF($Y$17="si","Cumplió",  "No Evaluado"),IF($S$38="No Hábil", "No Hábil","N/A"))</f>
        <v>N/A</v>
      </c>
      <c r="T45" s="80" t="str">
        <f t="shared" si="0"/>
        <v>N/A</v>
      </c>
      <c r="U45" s="80" t="str">
        <f t="shared" si="1"/>
        <v>N/A</v>
      </c>
      <c r="V45" s="80" t="str">
        <f t="shared" si="2"/>
        <v>N/A</v>
      </c>
      <c r="W45" s="80" t="str">
        <f t="shared" si="3"/>
        <v>N/A</v>
      </c>
    </row>
    <row r="46" spans="1:23" ht="54" customHeight="1" x14ac:dyDescent="0.25">
      <c r="A46" s="45" t="s">
        <v>242</v>
      </c>
      <c r="B46" s="115" t="s">
        <v>230</v>
      </c>
      <c r="C46" s="161"/>
      <c r="D46" s="248"/>
      <c r="E46" s="248"/>
      <c r="F46" s="58"/>
      <c r="G46" s="58"/>
      <c r="H46" s="251"/>
      <c r="I46" s="89" t="s">
        <v>86</v>
      </c>
      <c r="J46" s="229"/>
      <c r="K46" s="208"/>
      <c r="N46" s="172" t="s">
        <v>221</v>
      </c>
      <c r="O46" s="172"/>
      <c r="P46" s="172"/>
      <c r="Q46" s="172"/>
      <c r="R46" s="172"/>
      <c r="S46" s="80" t="str">
        <f t="shared" si="4"/>
        <v>N/A</v>
      </c>
      <c r="T46" s="80" t="str">
        <f t="shared" si="0"/>
        <v>N/A</v>
      </c>
      <c r="U46" s="80" t="str">
        <f t="shared" si="1"/>
        <v>N/A</v>
      </c>
      <c r="V46" s="80" t="str">
        <f t="shared" si="2"/>
        <v>N/A</v>
      </c>
      <c r="W46" s="80" t="str">
        <f t="shared" si="3"/>
        <v>N/A</v>
      </c>
    </row>
    <row r="47" spans="1:23" ht="28.5" customHeight="1" x14ac:dyDescent="0.25">
      <c r="A47" s="45" t="s">
        <v>245</v>
      </c>
      <c r="B47" s="115" t="s">
        <v>232</v>
      </c>
      <c r="C47" s="161"/>
      <c r="D47" s="248"/>
      <c r="E47" s="248"/>
      <c r="F47" s="58"/>
      <c r="G47" s="58"/>
      <c r="H47" s="251"/>
      <c r="I47" s="89" t="s">
        <v>107</v>
      </c>
      <c r="J47" s="229"/>
      <c r="K47" s="208"/>
      <c r="N47" s="172" t="s">
        <v>222</v>
      </c>
      <c r="O47" s="172"/>
      <c r="P47" s="172"/>
      <c r="Q47" s="172"/>
      <c r="R47" s="172"/>
      <c r="S47" s="80" t="str">
        <f t="shared" si="4"/>
        <v>N/A</v>
      </c>
      <c r="T47" s="80" t="str">
        <f t="shared" si="0"/>
        <v>N/A</v>
      </c>
      <c r="U47" s="80" t="str">
        <f t="shared" si="1"/>
        <v>N/A</v>
      </c>
      <c r="V47" s="80" t="str">
        <f t="shared" si="2"/>
        <v>N/A</v>
      </c>
      <c r="W47" s="80" t="str">
        <f t="shared" si="3"/>
        <v>N/A</v>
      </c>
    </row>
    <row r="48" spans="1:23" ht="30.75" customHeight="1" thickBot="1" x14ac:dyDescent="0.3">
      <c r="D48" s="249"/>
      <c r="E48" s="249"/>
      <c r="F48" s="95"/>
      <c r="G48" s="95"/>
      <c r="H48" s="198"/>
      <c r="I48" s="96" t="s">
        <v>104</v>
      </c>
      <c r="J48" s="230"/>
      <c r="K48" s="209"/>
      <c r="N48" s="172" t="s">
        <v>223</v>
      </c>
      <c r="O48" s="172"/>
      <c r="P48" s="172"/>
      <c r="Q48" s="172"/>
      <c r="R48" s="172"/>
      <c r="S48" s="80" t="str">
        <f t="shared" si="4"/>
        <v>N/A</v>
      </c>
      <c r="T48" s="80" t="str">
        <f t="shared" si="0"/>
        <v>N/A</v>
      </c>
      <c r="U48" s="80" t="str">
        <f t="shared" si="1"/>
        <v>N/A</v>
      </c>
      <c r="V48" s="80" t="str">
        <f t="shared" si="2"/>
        <v>N/A</v>
      </c>
      <c r="W48" s="80" t="str">
        <f t="shared" si="3"/>
        <v>N/A</v>
      </c>
    </row>
    <row r="49" spans="1:25" ht="76.5" customHeight="1" x14ac:dyDescent="0.25">
      <c r="A49" s="84" t="s">
        <v>185</v>
      </c>
      <c r="B49" s="114" t="s">
        <v>287</v>
      </c>
      <c r="D49" s="250" t="s">
        <v>190</v>
      </c>
      <c r="E49" s="250"/>
      <c r="F49" s="97"/>
      <c r="G49" s="97"/>
      <c r="H49" s="246" t="s">
        <v>105</v>
      </c>
      <c r="I49" s="98" t="s">
        <v>108</v>
      </c>
      <c r="J49" s="232"/>
      <c r="K49" s="207" t="s">
        <v>114</v>
      </c>
      <c r="N49" s="172" t="s">
        <v>224</v>
      </c>
      <c r="O49" s="172"/>
      <c r="P49" s="172"/>
      <c r="Q49" s="172"/>
      <c r="R49" s="172"/>
      <c r="S49" s="80" t="str">
        <f t="shared" si="4"/>
        <v>N/A</v>
      </c>
      <c r="T49" s="80" t="str">
        <f t="shared" si="0"/>
        <v>N/A</v>
      </c>
      <c r="U49" s="80" t="str">
        <f t="shared" si="1"/>
        <v>N/A</v>
      </c>
      <c r="V49" s="80" t="str">
        <f t="shared" si="2"/>
        <v>N/A</v>
      </c>
      <c r="W49" s="80" t="str">
        <f t="shared" si="3"/>
        <v>N/A</v>
      </c>
      <c r="Y49" s="90"/>
    </row>
    <row r="50" spans="1:25" ht="27" customHeight="1" thickBot="1" x14ac:dyDescent="0.3">
      <c r="A50" s="84" t="s">
        <v>156</v>
      </c>
      <c r="B50" s="93" t="s">
        <v>172</v>
      </c>
      <c r="D50" s="249"/>
      <c r="E50" s="249"/>
      <c r="F50" s="95"/>
      <c r="G50" s="95"/>
      <c r="H50" s="247"/>
      <c r="I50" s="96" t="s">
        <v>106</v>
      </c>
      <c r="J50" s="233"/>
      <c r="K50" s="209"/>
      <c r="N50" s="172" t="s">
        <v>225</v>
      </c>
      <c r="O50" s="172"/>
      <c r="P50" s="172"/>
      <c r="Q50" s="172"/>
      <c r="R50" s="172"/>
      <c r="S50" s="80" t="str">
        <f t="shared" si="4"/>
        <v>N/A</v>
      </c>
      <c r="T50" s="80" t="str">
        <f t="shared" si="0"/>
        <v>N/A</v>
      </c>
      <c r="U50" s="80" t="str">
        <f t="shared" si="1"/>
        <v>N/A</v>
      </c>
      <c r="V50" s="80" t="str">
        <f t="shared" si="2"/>
        <v>N/A</v>
      </c>
      <c r="W50" s="80" t="str">
        <f t="shared" si="3"/>
        <v>N/A</v>
      </c>
    </row>
    <row r="51" spans="1:25" ht="45" customHeight="1" x14ac:dyDescent="0.25">
      <c r="A51" s="84" t="s">
        <v>186</v>
      </c>
      <c r="B51" s="94" t="s">
        <v>288</v>
      </c>
      <c r="D51" s="250" t="s">
        <v>200</v>
      </c>
      <c r="E51" s="250"/>
      <c r="F51" s="97"/>
      <c r="G51" s="97"/>
      <c r="H51" s="246" t="s">
        <v>92</v>
      </c>
      <c r="I51" s="197" t="s">
        <v>235</v>
      </c>
      <c r="J51" s="232"/>
      <c r="K51" s="207" t="s">
        <v>115</v>
      </c>
      <c r="N51" s="172" t="s">
        <v>226</v>
      </c>
      <c r="O51" s="172"/>
      <c r="P51" s="172"/>
      <c r="Q51" s="172"/>
      <c r="R51" s="172"/>
      <c r="S51" s="80" t="str">
        <f>IF(C46="SI","Cumplió","No Requiere")</f>
        <v>No Requiere</v>
      </c>
      <c r="T51" s="80" t="str">
        <f t="shared" si="0"/>
        <v>N/A</v>
      </c>
      <c r="U51" s="80" t="str">
        <f t="shared" si="1"/>
        <v>N/A</v>
      </c>
      <c r="V51" s="80" t="str">
        <f t="shared" si="2"/>
        <v>N/A</v>
      </c>
      <c r="W51" s="80" t="str">
        <f t="shared" si="3"/>
        <v>N/A</v>
      </c>
    </row>
    <row r="52" spans="1:25" ht="44.25" customHeight="1" thickBot="1" x14ac:dyDescent="0.3">
      <c r="B52" s="94" t="s">
        <v>289</v>
      </c>
      <c r="D52" s="249"/>
      <c r="E52" s="249"/>
      <c r="F52" s="95"/>
      <c r="G52" s="95"/>
      <c r="H52" s="247"/>
      <c r="I52" s="198"/>
      <c r="J52" s="233"/>
      <c r="K52" s="209"/>
      <c r="N52"/>
      <c r="O52"/>
      <c r="P52"/>
      <c r="Q52"/>
      <c r="R52"/>
    </row>
    <row r="53" spans="1:25" ht="23.45" customHeight="1" x14ac:dyDescent="0.25">
      <c r="A53" s="84" t="s">
        <v>165</v>
      </c>
      <c r="B53" s="162" t="s">
        <v>290</v>
      </c>
      <c r="D53" s="250" t="s">
        <v>191</v>
      </c>
      <c r="E53" s="250"/>
      <c r="F53" s="97"/>
      <c r="G53" s="97"/>
      <c r="H53" s="194" t="s">
        <v>110</v>
      </c>
      <c r="I53" s="98" t="s">
        <v>93</v>
      </c>
      <c r="J53" s="204">
        <f>+J51</f>
        <v>0</v>
      </c>
      <c r="K53" s="207" t="s">
        <v>116</v>
      </c>
      <c r="N53" s="58"/>
      <c r="O53" s="58"/>
      <c r="P53" s="58"/>
      <c r="Q53" s="58"/>
    </row>
    <row r="54" spans="1:25" ht="26.1" customHeight="1" x14ac:dyDescent="0.25">
      <c r="A54" s="92" t="s">
        <v>184</v>
      </c>
      <c r="B54" s="158"/>
      <c r="D54" s="248"/>
      <c r="E54" s="248"/>
      <c r="F54" s="58"/>
      <c r="G54" s="58"/>
      <c r="H54" s="195"/>
      <c r="I54" s="89" t="s">
        <v>109</v>
      </c>
      <c r="J54" s="205"/>
      <c r="K54" s="208"/>
    </row>
    <row r="55" spans="1:25" ht="53.25" customHeight="1" thickBot="1" x14ac:dyDescent="0.3">
      <c r="A55" s="84" t="s">
        <v>187</v>
      </c>
      <c r="B55" s="93" t="s">
        <v>291</v>
      </c>
      <c r="D55" s="249"/>
      <c r="E55" s="249"/>
      <c r="F55" s="95"/>
      <c r="G55" s="95"/>
      <c r="H55" s="196"/>
      <c r="I55" s="96" t="s">
        <v>94</v>
      </c>
      <c r="J55" s="206"/>
      <c r="K55" s="209"/>
      <c r="N55" s="184" t="s">
        <v>87</v>
      </c>
      <c r="O55" s="185"/>
      <c r="P55" s="185"/>
      <c r="Q55" s="185"/>
      <c r="R55" s="185"/>
      <c r="S55" s="185"/>
      <c r="T55" s="185"/>
      <c r="U55" s="185"/>
      <c r="V55" s="185"/>
      <c r="W55" s="186"/>
    </row>
    <row r="56" spans="1:25" ht="54" customHeight="1" thickBot="1" x14ac:dyDescent="0.3">
      <c r="A56" s="84" t="s">
        <v>188</v>
      </c>
      <c r="B56" s="93" t="s">
        <v>292</v>
      </c>
      <c r="D56" s="253" t="s">
        <v>201</v>
      </c>
      <c r="E56" s="253"/>
      <c r="F56" s="99"/>
      <c r="G56" s="99"/>
      <c r="H56" s="100" t="s">
        <v>112</v>
      </c>
      <c r="I56" s="101" t="s">
        <v>130</v>
      </c>
      <c r="J56" s="102"/>
      <c r="K56" s="100"/>
      <c r="N56" s="191" t="s">
        <v>88</v>
      </c>
      <c r="O56" s="192"/>
      <c r="P56" s="192"/>
      <c r="Q56" s="193"/>
      <c r="R56" s="103" t="s">
        <v>89</v>
      </c>
      <c r="S56" s="78" t="s">
        <v>57</v>
      </c>
      <c r="T56" s="78" t="s">
        <v>58</v>
      </c>
      <c r="U56" s="78" t="s">
        <v>59</v>
      </c>
      <c r="V56" s="78" t="s">
        <v>60</v>
      </c>
      <c r="W56" s="78" t="s">
        <v>61</v>
      </c>
    </row>
    <row r="57" spans="1:25" ht="27.75" customHeight="1" x14ac:dyDescent="0.25">
      <c r="D57" s="250" t="s">
        <v>191</v>
      </c>
      <c r="E57" s="250"/>
      <c r="F57" s="97"/>
      <c r="G57" s="97"/>
      <c r="H57" s="197" t="s">
        <v>111</v>
      </c>
      <c r="I57" s="197" t="s">
        <v>122</v>
      </c>
      <c r="J57" s="204">
        <f>+J53</f>
        <v>0</v>
      </c>
      <c r="K57" s="207" t="s">
        <v>117</v>
      </c>
      <c r="N57" s="210" t="s">
        <v>90</v>
      </c>
      <c r="O57" s="211"/>
      <c r="P57" s="211"/>
      <c r="Q57" s="212"/>
      <c r="R57" s="122" t="s">
        <v>218</v>
      </c>
      <c r="S57" s="80" t="str">
        <f>IF(S38="Cumplió",Z17,IF(S38="No Hábil","No Hábil",S38))</f>
        <v>√</v>
      </c>
      <c r="T57" s="80" t="str">
        <f>IF(T38="Cumplió",Z18,IF(T38="No Hábil","No Hábil",T38))</f>
        <v>N/A</v>
      </c>
      <c r="U57" s="80" t="str">
        <f>IF(U38="Cumplió",Z19,IF(U38="No Hábil","No Hábil",U43))</f>
        <v>N/A</v>
      </c>
      <c r="V57" s="80" t="str">
        <f>IF(V38="Cumplió",Z20,IF(V38="No Hábil","No Hábil",V38))</f>
        <v>N/A</v>
      </c>
      <c r="W57" s="80" t="str">
        <f>IF(W38="Cumplió",Z21,IF(W38="No Hábil","No Hábil",W38))</f>
        <v>N/A</v>
      </c>
    </row>
    <row r="58" spans="1:25" ht="37.5" customHeight="1" thickBot="1" x14ac:dyDescent="0.3">
      <c r="D58" s="249"/>
      <c r="E58" s="249"/>
      <c r="F58" s="95"/>
      <c r="G58" s="95"/>
      <c r="H58" s="198"/>
      <c r="I58" s="198"/>
      <c r="J58" s="206"/>
      <c r="K58" s="209"/>
      <c r="N58" s="187" t="s">
        <v>38</v>
      </c>
      <c r="O58" s="188"/>
      <c r="P58" s="188"/>
      <c r="Q58" s="189"/>
      <c r="R58" s="123" t="s">
        <v>219</v>
      </c>
      <c r="S58" s="106" t="str">
        <f>IF(S38="Cumplió",AA17,IF(S38="No Hábil","No Hábil",S38))</f>
        <v>√</v>
      </c>
      <c r="T58" s="106" t="str">
        <f>IF(T38="Cumplió",AA18,IF(T38="No Hábil","No Hábil",T38))</f>
        <v>N/A</v>
      </c>
      <c r="U58" s="106" t="str">
        <f>IF(U38="cumplió",AA19,IF(U38="No Hábil","No Hábil",U38))</f>
        <v>N/A</v>
      </c>
      <c r="V58" s="106" t="str">
        <f>IF(V38="Cumplió",AA20,IF(V38="No Hábil","No Hábil",V38))</f>
        <v>N/A</v>
      </c>
      <c r="W58" s="106" t="str">
        <f>IF(W38="Cumplió",AA21,IF(W38="No Hábil","No Hábil",W38))</f>
        <v>N/A</v>
      </c>
    </row>
    <row r="59" spans="1:25" ht="15.75" customHeight="1" x14ac:dyDescent="0.25">
      <c r="D59" s="250" t="s">
        <v>192</v>
      </c>
      <c r="E59" s="250"/>
      <c r="F59" s="97"/>
      <c r="G59" s="97"/>
      <c r="H59" s="197" t="s">
        <v>95</v>
      </c>
      <c r="I59" s="199" t="s">
        <v>96</v>
      </c>
      <c r="J59" s="232"/>
      <c r="K59" s="207"/>
      <c r="N59" s="190" t="s">
        <v>91</v>
      </c>
      <c r="O59" s="190"/>
      <c r="P59" s="190"/>
      <c r="Q59" s="190"/>
      <c r="R59" s="104">
        <v>1</v>
      </c>
      <c r="S59" s="105" t="str">
        <f>IF(Y17="si",S57 + S58 &amp;"%",S57)</f>
        <v>√</v>
      </c>
      <c r="T59" s="105" t="str">
        <f>IF(Y18="si",T57 + T58 &amp;"%",T57)</f>
        <v>N/A</v>
      </c>
      <c r="U59" s="105" t="str">
        <f>IF(Y19="si",U57 + U58 &amp;"%",U57)</f>
        <v>N/A</v>
      </c>
      <c r="V59" s="105" t="str">
        <f>IF(Y20="si",V57 + V58 &amp;"%",V57)</f>
        <v>N/A</v>
      </c>
      <c r="W59" s="105" t="str">
        <f>IF(Y21="si",W57 + W58 &amp;"%",W57)</f>
        <v>N/A</v>
      </c>
    </row>
    <row r="60" spans="1:25" ht="51" customHeight="1" thickBot="1" x14ac:dyDescent="0.3">
      <c r="D60" s="249"/>
      <c r="E60" s="249"/>
      <c r="F60" s="95"/>
      <c r="G60" s="95"/>
      <c r="H60" s="198"/>
      <c r="I60" s="200"/>
      <c r="J60" s="233"/>
      <c r="K60" s="209"/>
      <c r="N60" s="173" t="str">
        <f>+"El oferente con mejor calificación es: "&amp;IF(AC17=AB17,O17,(IF(AC17=AB18,O18,IF(AC17=AB19,O19,IF(AC17=AB20,O20,O21))))) &amp;", con NIT "&amp;IF(AC17=AB17,U17,(IF(AC17=AB18,U18,IF(AC17=AB19,U19,IF(AC17=AB20,U20,U21))))) &amp;", por un valor de $ "&amp;IF(AC17=AB17,W17,(IF(AC17=AB18,W18,IF(AC17=AB19,W19,IF(AC17=AB20,W20,W21))))) &amp;", por concepto de "&amp;Datos!C8&amp;""</f>
        <v xml:space="preserve">El oferente con mejor calificación es: NELSON LEON MEJIA BILBAO, con NIT 71.669.550-1, por un valor de $ 8280000, por concepto de ASESORÍA CONTABLE DE FONDOS DE SERVICIOS EDUCATIVOS </v>
      </c>
      <c r="O60" s="173"/>
      <c r="P60" s="173"/>
      <c r="Q60" s="173"/>
      <c r="R60" s="173"/>
      <c r="S60" s="173"/>
      <c r="T60" s="173"/>
      <c r="U60" s="173"/>
      <c r="V60" s="173"/>
      <c r="W60" s="173"/>
    </row>
    <row r="61" spans="1:25" ht="20.45" customHeight="1" x14ac:dyDescent="0.25">
      <c r="D61" s="250" t="s">
        <v>193</v>
      </c>
      <c r="E61" s="250"/>
      <c r="F61" s="97"/>
      <c r="G61" s="97"/>
      <c r="H61" s="197" t="s">
        <v>97</v>
      </c>
      <c r="I61" s="199" t="s">
        <v>98</v>
      </c>
      <c r="J61" s="232"/>
      <c r="K61" s="207"/>
      <c r="N61" s="174"/>
      <c r="O61" s="174"/>
      <c r="P61" s="174"/>
      <c r="Q61" s="174"/>
      <c r="R61" s="174"/>
      <c r="S61" s="174"/>
      <c r="T61" s="174"/>
      <c r="U61" s="174"/>
      <c r="V61" s="174"/>
      <c r="W61" s="174"/>
    </row>
    <row r="62" spans="1:25" ht="38.25" customHeight="1" thickBot="1" x14ac:dyDescent="0.3">
      <c r="D62" s="249"/>
      <c r="E62" s="249"/>
      <c r="F62" s="95"/>
      <c r="G62" s="95"/>
      <c r="H62" s="198"/>
      <c r="I62" s="200"/>
      <c r="J62" s="233"/>
      <c r="K62" s="209"/>
      <c r="N62" s="174"/>
      <c r="O62" s="174"/>
      <c r="P62" s="174"/>
      <c r="Q62" s="174"/>
      <c r="R62" s="174"/>
      <c r="S62" s="174"/>
      <c r="T62" s="174"/>
      <c r="U62" s="174"/>
      <c r="V62" s="174"/>
      <c r="W62" s="174"/>
    </row>
    <row r="63" spans="1:25" ht="35.1" customHeight="1" x14ac:dyDescent="0.25">
      <c r="D63" s="250" t="s">
        <v>194</v>
      </c>
      <c r="E63" s="250"/>
      <c r="F63" s="97"/>
      <c r="G63" s="97"/>
      <c r="H63" s="197" t="s">
        <v>123</v>
      </c>
      <c r="I63" s="98" t="s">
        <v>125</v>
      </c>
      <c r="J63" s="258" t="str">
        <f>J65</f>
        <v>30 de marzo de 2020</v>
      </c>
      <c r="K63" s="207" t="s">
        <v>128</v>
      </c>
    </row>
    <row r="64" spans="1:25" ht="45" customHeight="1" thickBot="1" x14ac:dyDescent="0.3">
      <c r="D64" s="249"/>
      <c r="E64" s="249"/>
      <c r="F64" s="95"/>
      <c r="G64" s="95"/>
      <c r="H64" s="198"/>
      <c r="I64" s="96" t="s">
        <v>99</v>
      </c>
      <c r="J64" s="259"/>
      <c r="K64" s="209"/>
    </row>
    <row r="65" spans="4:13" ht="21" customHeight="1" x14ac:dyDescent="0.25">
      <c r="D65" s="250" t="s">
        <v>195</v>
      </c>
      <c r="E65" s="250"/>
      <c r="F65" s="97"/>
      <c r="G65" s="97"/>
      <c r="H65" s="197" t="s">
        <v>124</v>
      </c>
      <c r="I65" s="194" t="s">
        <v>100</v>
      </c>
      <c r="J65" s="258" t="str">
        <f>+C37</f>
        <v>30 de marzo de 2020</v>
      </c>
      <c r="K65" s="207" t="s">
        <v>118</v>
      </c>
    </row>
    <row r="66" spans="4:13" ht="42.75" customHeight="1" thickBot="1" x14ac:dyDescent="0.3">
      <c r="D66" s="249"/>
      <c r="E66" s="249"/>
      <c r="F66" s="95"/>
      <c r="G66" s="95"/>
      <c r="H66" s="198"/>
      <c r="I66" s="196"/>
      <c r="J66" s="259"/>
      <c r="K66" s="209"/>
    </row>
    <row r="68" spans="4:13" x14ac:dyDescent="0.25">
      <c r="H68" s="91"/>
      <c r="J68" s="65"/>
      <c r="K68" s="65"/>
    </row>
    <row r="69" spans="4:13" ht="38.25" customHeight="1" x14ac:dyDescent="0.25">
      <c r="G69" s="124" t="s">
        <v>233</v>
      </c>
      <c r="H69" s="65" t="s">
        <v>129</v>
      </c>
      <c r="I69" s="201" t="s">
        <v>72</v>
      </c>
      <c r="J69" s="202"/>
      <c r="K69" s="202"/>
      <c r="L69" s="202"/>
      <c r="M69" s="203"/>
    </row>
    <row r="70" spans="4:13" x14ac:dyDescent="0.25">
      <c r="G70" s="125"/>
      <c r="H70" s="42"/>
      <c r="I70" s="168" t="s">
        <v>257</v>
      </c>
      <c r="J70" s="169"/>
      <c r="K70" s="169"/>
      <c r="L70" s="169"/>
      <c r="M70" s="170"/>
    </row>
    <row r="71" spans="4:13" x14ac:dyDescent="0.25">
      <c r="G71" s="125"/>
      <c r="H71" s="42"/>
      <c r="I71" s="168" t="s">
        <v>258</v>
      </c>
      <c r="J71" s="169"/>
      <c r="K71" s="169"/>
      <c r="L71" s="169"/>
      <c r="M71" s="170"/>
    </row>
    <row r="72" spans="4:13" x14ac:dyDescent="0.25">
      <c r="G72" s="125"/>
      <c r="H72" s="42"/>
      <c r="I72" s="168" t="s">
        <v>259</v>
      </c>
      <c r="J72" s="169"/>
      <c r="K72" s="169"/>
      <c r="L72" s="169"/>
      <c r="M72" s="170"/>
    </row>
    <row r="73" spans="4:13" x14ac:dyDescent="0.25">
      <c r="G73" s="125"/>
      <c r="H73" s="42"/>
      <c r="I73" s="168" t="s">
        <v>260</v>
      </c>
      <c r="J73" s="169"/>
      <c r="K73" s="169"/>
      <c r="L73" s="169"/>
      <c r="M73" s="170"/>
    </row>
    <row r="74" spans="4:13" x14ac:dyDescent="0.25">
      <c r="G74" s="125"/>
      <c r="H74" s="42"/>
      <c r="I74" s="168" t="s">
        <v>261</v>
      </c>
      <c r="J74" s="169"/>
      <c r="K74" s="169"/>
      <c r="L74" s="169"/>
      <c r="M74" s="170"/>
    </row>
    <row r="75" spans="4:13" x14ac:dyDescent="0.25">
      <c r="G75" s="125"/>
      <c r="H75" s="42"/>
      <c r="I75" s="168" t="s">
        <v>262</v>
      </c>
      <c r="J75" s="169"/>
      <c r="K75" s="169"/>
      <c r="L75" s="169"/>
      <c r="M75" s="170"/>
    </row>
    <row r="76" spans="4:13" x14ac:dyDescent="0.25">
      <c r="G76" s="125"/>
      <c r="H76" s="42"/>
      <c r="I76" s="168" t="s">
        <v>263</v>
      </c>
      <c r="J76" s="169"/>
      <c r="K76" s="169"/>
      <c r="L76" s="169"/>
      <c r="M76" s="170"/>
    </row>
    <row r="77" spans="4:13" x14ac:dyDescent="0.25">
      <c r="G77" s="125"/>
      <c r="H77" s="42"/>
      <c r="I77" s="168" t="s">
        <v>264</v>
      </c>
      <c r="J77" s="169"/>
      <c r="K77" s="169"/>
      <c r="L77" s="169"/>
      <c r="M77" s="170"/>
    </row>
    <row r="78" spans="4:13" x14ac:dyDescent="0.25">
      <c r="G78" s="125"/>
      <c r="H78" s="42"/>
      <c r="I78" s="168" t="s">
        <v>265</v>
      </c>
      <c r="J78" s="169"/>
      <c r="K78" s="169"/>
      <c r="L78" s="169"/>
      <c r="M78" s="170"/>
    </row>
    <row r="79" spans="4:13" x14ac:dyDescent="0.25">
      <c r="G79" s="125"/>
      <c r="H79" s="42"/>
      <c r="I79" s="168" t="s">
        <v>266</v>
      </c>
      <c r="J79" s="169"/>
      <c r="K79" s="169"/>
      <c r="L79" s="169"/>
      <c r="M79" s="170"/>
    </row>
    <row r="80" spans="4:13" x14ac:dyDescent="0.25">
      <c r="G80" s="125"/>
      <c r="H80" s="42"/>
      <c r="I80" s="168" t="s">
        <v>267</v>
      </c>
      <c r="J80" s="169"/>
      <c r="K80" s="169"/>
      <c r="L80" s="169"/>
      <c r="M80" s="170"/>
    </row>
    <row r="81" spans="7:13" x14ac:dyDescent="0.25">
      <c r="G81" s="125"/>
      <c r="H81" s="42"/>
      <c r="I81" s="168" t="s">
        <v>268</v>
      </c>
      <c r="J81" s="169"/>
      <c r="K81" s="169"/>
      <c r="L81" s="169"/>
      <c r="M81" s="170"/>
    </row>
    <row r="82" spans="7:13" x14ac:dyDescent="0.25">
      <c r="G82" s="125"/>
      <c r="H82" s="42"/>
      <c r="I82" s="168" t="s">
        <v>269</v>
      </c>
      <c r="J82" s="169"/>
      <c r="K82" s="169"/>
      <c r="L82" s="169"/>
      <c r="M82" s="170"/>
    </row>
    <row r="83" spans="7:13" x14ac:dyDescent="0.25">
      <c r="G83" s="125"/>
      <c r="H83" s="42"/>
      <c r="I83" s="168" t="s">
        <v>270</v>
      </c>
      <c r="J83" s="169"/>
      <c r="K83" s="169"/>
      <c r="L83" s="169"/>
      <c r="M83" s="170"/>
    </row>
    <row r="84" spans="7:13" x14ac:dyDescent="0.25">
      <c r="G84" s="125"/>
      <c r="H84" s="42"/>
      <c r="I84" s="168" t="s">
        <v>271</v>
      </c>
      <c r="J84" s="169"/>
      <c r="K84" s="169"/>
      <c r="L84" s="169"/>
      <c r="M84" s="170"/>
    </row>
    <row r="85" spans="7:13" x14ac:dyDescent="0.25">
      <c r="G85" s="125"/>
      <c r="H85" s="42"/>
      <c r="I85" s="168" t="s">
        <v>272</v>
      </c>
      <c r="J85" s="169"/>
      <c r="K85" s="169"/>
      <c r="L85" s="169"/>
      <c r="M85" s="170"/>
    </row>
    <row r="86" spans="7:13" x14ac:dyDescent="0.25">
      <c r="G86" s="125"/>
      <c r="H86" s="42"/>
      <c r="I86" s="168" t="s">
        <v>273</v>
      </c>
      <c r="J86" s="169"/>
      <c r="K86" s="169"/>
      <c r="L86" s="169"/>
      <c r="M86" s="170"/>
    </row>
    <row r="87" spans="7:13" x14ac:dyDescent="0.25">
      <c r="G87" s="125"/>
      <c r="H87" s="42"/>
      <c r="I87" s="168" t="s">
        <v>274</v>
      </c>
      <c r="J87" s="169"/>
      <c r="K87" s="169"/>
      <c r="L87" s="169"/>
      <c r="M87" s="170"/>
    </row>
    <row r="88" spans="7:13" x14ac:dyDescent="0.25">
      <c r="G88" s="125"/>
      <c r="H88" s="42"/>
      <c r="I88" s="168" t="s">
        <v>275</v>
      </c>
      <c r="J88" s="169"/>
      <c r="K88" s="169"/>
      <c r="L88" s="169"/>
      <c r="M88" s="170"/>
    </row>
    <row r="89" spans="7:13" x14ac:dyDescent="0.25">
      <c r="G89" s="125"/>
      <c r="H89" s="42"/>
      <c r="I89" s="168" t="s">
        <v>276</v>
      </c>
      <c r="J89" s="169"/>
      <c r="K89" s="169"/>
      <c r="L89" s="169"/>
      <c r="M89" s="170"/>
    </row>
    <row r="90" spans="7:13" x14ac:dyDescent="0.25">
      <c r="G90" s="125"/>
      <c r="H90" s="42"/>
      <c r="I90" s="168" t="s">
        <v>277</v>
      </c>
      <c r="J90" s="169"/>
      <c r="K90" s="169"/>
      <c r="L90" s="169"/>
      <c r="M90" s="170"/>
    </row>
    <row r="91" spans="7:13" x14ac:dyDescent="0.25">
      <c r="G91" s="125"/>
      <c r="H91" s="42"/>
      <c r="I91" s="168" t="s">
        <v>278</v>
      </c>
      <c r="J91" s="169"/>
      <c r="K91" s="169"/>
      <c r="L91" s="169"/>
      <c r="M91" s="170"/>
    </row>
    <row r="92" spans="7:13" x14ac:dyDescent="0.25">
      <c r="G92" s="125"/>
      <c r="H92" s="42"/>
      <c r="I92" s="168"/>
      <c r="J92" s="169"/>
      <c r="K92" s="169"/>
      <c r="L92" s="169"/>
      <c r="M92" s="170"/>
    </row>
    <row r="93" spans="7:13" x14ac:dyDescent="0.25">
      <c r="G93" s="125"/>
      <c r="H93" s="42"/>
      <c r="I93" s="168"/>
      <c r="J93" s="169"/>
      <c r="K93" s="169"/>
      <c r="L93" s="169"/>
      <c r="M93" s="170"/>
    </row>
    <row r="94" spans="7:13" x14ac:dyDescent="0.25">
      <c r="G94" s="125"/>
      <c r="H94" s="42"/>
      <c r="I94" s="168"/>
      <c r="J94" s="169"/>
      <c r="K94" s="169"/>
      <c r="L94" s="169"/>
      <c r="M94" s="170"/>
    </row>
    <row r="95" spans="7:13" x14ac:dyDescent="0.25">
      <c r="G95" s="125"/>
      <c r="H95" s="42"/>
      <c r="I95" s="168"/>
      <c r="J95" s="169"/>
      <c r="K95" s="169"/>
      <c r="L95" s="169"/>
      <c r="M95" s="170"/>
    </row>
    <row r="96" spans="7:13" x14ac:dyDescent="0.25">
      <c r="G96" s="125"/>
      <c r="H96" s="42"/>
      <c r="I96" s="168"/>
      <c r="J96" s="169"/>
      <c r="K96" s="169"/>
      <c r="L96" s="169"/>
      <c r="M96" s="170"/>
    </row>
    <row r="97" spans="7:13" ht="15.75" customHeight="1" x14ac:dyDescent="0.25">
      <c r="G97" s="125"/>
      <c r="H97" s="42"/>
      <c r="I97" s="168"/>
      <c r="J97" s="169"/>
      <c r="K97" s="169"/>
      <c r="L97" s="169"/>
      <c r="M97" s="170"/>
    </row>
    <row r="98" spans="7:13" x14ac:dyDescent="0.25">
      <c r="G98" s="125"/>
      <c r="H98" s="42"/>
      <c r="I98" s="168"/>
      <c r="J98" s="169"/>
      <c r="K98" s="169"/>
      <c r="L98" s="169"/>
      <c r="M98" s="170"/>
    </row>
    <row r="99" spans="7:13" x14ac:dyDescent="0.25">
      <c r="G99" s="125"/>
      <c r="H99" s="42"/>
      <c r="I99" s="168"/>
      <c r="J99" s="169"/>
      <c r="K99" s="169"/>
      <c r="L99" s="169"/>
      <c r="M99" s="170"/>
    </row>
    <row r="100" spans="7:13" x14ac:dyDescent="0.25">
      <c r="G100" s="125"/>
      <c r="H100" s="42"/>
      <c r="I100" s="168"/>
      <c r="J100" s="169"/>
      <c r="K100" s="169"/>
      <c r="L100" s="169"/>
      <c r="M100" s="170"/>
    </row>
    <row r="101" spans="7:13" x14ac:dyDescent="0.25">
      <c r="G101" s="125"/>
      <c r="H101" s="42"/>
      <c r="I101" s="168"/>
      <c r="J101" s="169"/>
      <c r="K101" s="169"/>
      <c r="L101" s="169"/>
      <c r="M101" s="170"/>
    </row>
    <row r="102" spans="7:13" x14ac:dyDescent="0.25">
      <c r="G102" s="125"/>
      <c r="H102" s="42"/>
      <c r="I102" s="168"/>
      <c r="J102" s="169"/>
      <c r="K102" s="169"/>
      <c r="L102" s="169"/>
      <c r="M102" s="170"/>
    </row>
    <row r="103" spans="7:13" x14ac:dyDescent="0.25">
      <c r="G103" s="125"/>
      <c r="H103" s="42"/>
      <c r="I103" s="168"/>
      <c r="J103" s="169"/>
      <c r="K103" s="169"/>
      <c r="L103" s="169"/>
      <c r="M103" s="170"/>
    </row>
    <row r="104" spans="7:13" x14ac:dyDescent="0.25">
      <c r="G104" s="125"/>
      <c r="H104" s="42"/>
      <c r="I104" s="168"/>
      <c r="J104" s="169"/>
      <c r="K104" s="169"/>
      <c r="L104" s="169"/>
      <c r="M104" s="170"/>
    </row>
    <row r="105" spans="7:13" x14ac:dyDescent="0.25">
      <c r="G105" s="125"/>
      <c r="H105" s="42"/>
      <c r="I105" s="168"/>
      <c r="J105" s="169"/>
      <c r="K105" s="169"/>
      <c r="L105" s="169"/>
      <c r="M105" s="170"/>
    </row>
    <row r="106" spans="7:13" x14ac:dyDescent="0.25">
      <c r="G106" s="125"/>
      <c r="H106" s="42"/>
      <c r="I106" s="168"/>
      <c r="J106" s="169"/>
      <c r="K106" s="169"/>
      <c r="L106" s="169"/>
      <c r="M106" s="170"/>
    </row>
    <row r="107" spans="7:13" x14ac:dyDescent="0.25">
      <c r="G107" s="125"/>
      <c r="H107" s="42"/>
      <c r="I107" s="168"/>
      <c r="J107" s="169"/>
      <c r="K107" s="169"/>
      <c r="L107" s="169"/>
      <c r="M107" s="170"/>
    </row>
    <row r="108" spans="7:13" x14ac:dyDescent="0.25">
      <c r="G108" s="125"/>
      <c r="H108" s="42"/>
      <c r="I108" s="168"/>
      <c r="J108" s="169"/>
      <c r="K108" s="169"/>
      <c r="L108" s="169"/>
      <c r="M108" s="170"/>
    </row>
    <row r="109" spans="7:13" ht="15" customHeight="1" x14ac:dyDescent="0.25">
      <c r="G109" s="125"/>
      <c r="H109" s="42"/>
      <c r="I109" s="168"/>
      <c r="J109" s="169"/>
      <c r="K109" s="169"/>
      <c r="L109" s="169"/>
      <c r="M109" s="170"/>
    </row>
    <row r="110" spans="7:13" x14ac:dyDescent="0.25">
      <c r="G110" s="125"/>
      <c r="H110" s="42"/>
      <c r="I110" s="168"/>
      <c r="J110" s="169"/>
      <c r="K110" s="169"/>
      <c r="L110" s="169"/>
      <c r="M110" s="170"/>
    </row>
    <row r="111" spans="7:13" x14ac:dyDescent="0.25">
      <c r="G111" s="125"/>
      <c r="H111" s="42"/>
      <c r="I111" s="168"/>
      <c r="J111" s="169"/>
      <c r="K111" s="169"/>
      <c r="L111" s="169"/>
      <c r="M111" s="170"/>
    </row>
    <row r="112" spans="7:13" x14ac:dyDescent="0.25">
      <c r="G112" s="125"/>
      <c r="H112" s="42"/>
      <c r="I112" s="168"/>
      <c r="J112" s="169"/>
      <c r="K112" s="169"/>
      <c r="L112" s="169"/>
      <c r="M112" s="170"/>
    </row>
    <row r="113" spans="7:13" x14ac:dyDescent="0.25">
      <c r="G113" s="125"/>
      <c r="H113" s="42"/>
      <c r="I113" s="168"/>
      <c r="J113" s="169"/>
      <c r="K113" s="169"/>
      <c r="L113" s="169"/>
      <c r="M113" s="170"/>
    </row>
    <row r="114" spans="7:13" x14ac:dyDescent="0.25">
      <c r="G114" s="125"/>
      <c r="H114" s="42"/>
      <c r="I114" s="168"/>
      <c r="J114" s="169"/>
      <c r="K114" s="169"/>
      <c r="L114" s="169"/>
      <c r="M114" s="170"/>
    </row>
    <row r="115" spans="7:13" x14ac:dyDescent="0.25">
      <c r="G115" s="125"/>
      <c r="H115" s="42"/>
      <c r="I115" s="168"/>
      <c r="J115" s="169"/>
      <c r="K115" s="169"/>
      <c r="L115" s="169"/>
      <c r="M115" s="170"/>
    </row>
    <row r="116" spans="7:13" x14ac:dyDescent="0.25">
      <c r="G116" s="125"/>
      <c r="H116" s="42"/>
      <c r="I116" s="168"/>
      <c r="J116" s="169"/>
      <c r="K116" s="169"/>
      <c r="L116" s="169"/>
      <c r="M116" s="170"/>
    </row>
    <row r="117" spans="7:13" x14ac:dyDescent="0.25">
      <c r="G117" s="125"/>
      <c r="H117" s="42"/>
      <c r="I117" s="168"/>
      <c r="J117" s="169"/>
      <c r="K117" s="169"/>
      <c r="L117" s="169"/>
      <c r="M117" s="170"/>
    </row>
    <row r="118" spans="7:13" x14ac:dyDescent="0.25">
      <c r="G118" s="125"/>
      <c r="H118" s="42"/>
      <c r="I118" s="168"/>
      <c r="J118" s="169"/>
      <c r="K118" s="169"/>
      <c r="L118" s="169"/>
      <c r="M118" s="170"/>
    </row>
    <row r="119" spans="7:13" x14ac:dyDescent="0.25">
      <c r="G119" s="125"/>
      <c r="H119" s="42"/>
      <c r="I119" s="168"/>
      <c r="J119" s="169"/>
      <c r="K119" s="169"/>
      <c r="L119" s="169"/>
      <c r="M119" s="170"/>
    </row>
    <row r="120" spans="7:13" x14ac:dyDescent="0.25">
      <c r="G120" s="125"/>
      <c r="H120" s="42"/>
      <c r="I120" s="168"/>
      <c r="J120" s="169"/>
      <c r="K120" s="169"/>
      <c r="L120" s="169"/>
      <c r="M120" s="170"/>
    </row>
    <row r="121" spans="7:13" x14ac:dyDescent="0.25">
      <c r="G121" s="125"/>
      <c r="H121" s="42"/>
      <c r="I121" s="168"/>
      <c r="J121" s="169"/>
      <c r="K121" s="169"/>
      <c r="L121" s="169"/>
      <c r="M121" s="170"/>
    </row>
    <row r="122" spans="7:13" x14ac:dyDescent="0.25">
      <c r="G122" s="125"/>
      <c r="H122" s="42"/>
      <c r="I122" s="168"/>
      <c r="J122" s="169"/>
      <c r="K122" s="169"/>
      <c r="L122" s="169"/>
      <c r="M122" s="170"/>
    </row>
    <row r="123" spans="7:13" x14ac:dyDescent="0.25">
      <c r="G123" s="125"/>
      <c r="H123" s="42"/>
      <c r="I123" s="168"/>
      <c r="J123" s="169"/>
      <c r="K123" s="169"/>
      <c r="L123" s="169"/>
      <c r="M123" s="170"/>
    </row>
    <row r="124" spans="7:13" x14ac:dyDescent="0.25">
      <c r="G124" s="125"/>
      <c r="H124" s="42"/>
      <c r="I124" s="168"/>
      <c r="J124" s="169"/>
      <c r="K124" s="169"/>
      <c r="L124" s="169"/>
      <c r="M124" s="170"/>
    </row>
    <row r="125" spans="7:13" x14ac:dyDescent="0.25">
      <c r="G125" s="125"/>
      <c r="H125" s="42"/>
      <c r="I125" s="168"/>
      <c r="J125" s="169"/>
      <c r="K125" s="169"/>
      <c r="L125" s="169"/>
      <c r="M125" s="170"/>
    </row>
    <row r="126" spans="7:13" x14ac:dyDescent="0.25">
      <c r="G126" s="125"/>
      <c r="H126" s="42"/>
      <c r="I126" s="168"/>
      <c r="J126" s="169"/>
      <c r="K126" s="169"/>
      <c r="L126" s="169"/>
      <c r="M126" s="170"/>
    </row>
    <row r="127" spans="7:13" x14ac:dyDescent="0.25">
      <c r="G127" s="125"/>
      <c r="H127" s="42"/>
      <c r="I127" s="168"/>
      <c r="J127" s="169"/>
      <c r="K127" s="169"/>
      <c r="L127" s="169"/>
      <c r="M127" s="170"/>
    </row>
    <row r="128" spans="7:13" x14ac:dyDescent="0.25">
      <c r="G128" s="125"/>
      <c r="H128" s="42"/>
      <c r="I128" s="168"/>
      <c r="J128" s="169"/>
      <c r="K128" s="169"/>
      <c r="L128" s="169"/>
      <c r="M128" s="170"/>
    </row>
    <row r="129" spans="7:13" x14ac:dyDescent="0.25">
      <c r="G129" s="125"/>
      <c r="H129" s="42"/>
      <c r="I129" s="168"/>
      <c r="J129" s="169"/>
      <c r="K129" s="169"/>
      <c r="L129" s="169"/>
      <c r="M129" s="170"/>
    </row>
    <row r="130" spans="7:13" x14ac:dyDescent="0.25">
      <c r="G130" s="125"/>
      <c r="H130" s="42"/>
      <c r="I130" s="168"/>
      <c r="J130" s="169"/>
      <c r="K130" s="169"/>
      <c r="L130" s="169"/>
      <c r="M130" s="170"/>
    </row>
    <row r="131" spans="7:13" x14ac:dyDescent="0.25">
      <c r="G131" s="125"/>
      <c r="H131" s="42"/>
      <c r="I131" s="168"/>
      <c r="J131" s="169"/>
      <c r="K131" s="169"/>
      <c r="L131" s="169"/>
      <c r="M131" s="170"/>
    </row>
    <row r="132" spans="7:13" x14ac:dyDescent="0.25">
      <c r="G132" s="125"/>
      <c r="H132" s="42"/>
      <c r="I132" s="168"/>
      <c r="J132" s="169"/>
      <c r="K132" s="169"/>
      <c r="L132" s="169"/>
      <c r="M132" s="170"/>
    </row>
    <row r="133" spans="7:13" x14ac:dyDescent="0.25">
      <c r="G133" s="125"/>
      <c r="H133" s="42"/>
      <c r="I133" s="168"/>
      <c r="J133" s="169"/>
      <c r="K133" s="169"/>
      <c r="L133" s="169"/>
      <c r="M133" s="170"/>
    </row>
    <row r="134" spans="7:13" x14ac:dyDescent="0.25">
      <c r="G134" s="125"/>
      <c r="H134" s="42"/>
      <c r="I134" s="168"/>
      <c r="J134" s="169"/>
      <c r="K134" s="169"/>
      <c r="L134" s="169"/>
      <c r="M134" s="170"/>
    </row>
    <row r="135" spans="7:13" x14ac:dyDescent="0.25">
      <c r="G135" s="125"/>
      <c r="H135" s="42"/>
      <c r="I135" s="168"/>
      <c r="J135" s="169"/>
      <c r="K135" s="169"/>
      <c r="L135" s="169"/>
      <c r="M135" s="170"/>
    </row>
    <row r="136" spans="7:13" x14ac:dyDescent="0.25">
      <c r="G136" s="125"/>
      <c r="H136" s="42"/>
      <c r="I136" s="168"/>
      <c r="J136" s="169"/>
      <c r="K136" s="169"/>
      <c r="L136" s="169"/>
      <c r="M136" s="170"/>
    </row>
    <row r="137" spans="7:13" x14ac:dyDescent="0.25">
      <c r="G137" s="125"/>
      <c r="H137" s="42"/>
      <c r="I137" s="168"/>
      <c r="J137" s="169"/>
      <c r="K137" s="169"/>
      <c r="L137" s="169"/>
      <c r="M137" s="170"/>
    </row>
    <row r="138" spans="7:13" x14ac:dyDescent="0.25">
      <c r="G138" s="125"/>
      <c r="H138" s="42"/>
      <c r="I138" s="168"/>
      <c r="J138" s="169"/>
      <c r="K138" s="169"/>
      <c r="L138" s="169"/>
      <c r="M138" s="170"/>
    </row>
    <row r="139" spans="7:13" x14ac:dyDescent="0.25">
      <c r="G139" s="125"/>
      <c r="H139" s="42"/>
      <c r="I139" s="168"/>
      <c r="J139" s="169"/>
      <c r="K139" s="169"/>
      <c r="L139" s="169"/>
      <c r="M139" s="170"/>
    </row>
    <row r="140" spans="7:13" x14ac:dyDescent="0.25">
      <c r="G140" s="125"/>
      <c r="H140" s="42"/>
      <c r="I140" s="168"/>
      <c r="J140" s="169"/>
      <c r="K140" s="169"/>
      <c r="L140" s="169"/>
      <c r="M140" s="170"/>
    </row>
    <row r="141" spans="7:13" x14ac:dyDescent="0.25">
      <c r="G141" s="125"/>
      <c r="H141" s="42"/>
      <c r="I141" s="168"/>
      <c r="J141" s="169"/>
      <c r="K141" s="169"/>
      <c r="L141" s="169"/>
      <c r="M141" s="170"/>
    </row>
    <row r="142" spans="7:13" x14ac:dyDescent="0.25">
      <c r="G142" s="125"/>
      <c r="H142" s="42"/>
      <c r="I142" s="168"/>
      <c r="J142" s="169"/>
      <c r="K142" s="169"/>
      <c r="L142" s="169"/>
      <c r="M142" s="170"/>
    </row>
    <row r="143" spans="7:13" x14ac:dyDescent="0.25">
      <c r="G143" s="125"/>
      <c r="H143" s="42"/>
      <c r="I143" s="168"/>
      <c r="J143" s="169"/>
      <c r="K143" s="169"/>
      <c r="L143" s="169"/>
      <c r="M143" s="170"/>
    </row>
    <row r="144" spans="7:13" x14ac:dyDescent="0.25">
      <c r="G144" s="125"/>
      <c r="H144" s="42"/>
      <c r="I144" s="168"/>
      <c r="J144" s="169"/>
      <c r="K144" s="169"/>
      <c r="L144" s="169"/>
      <c r="M144" s="170"/>
    </row>
    <row r="145" spans="7:13" x14ac:dyDescent="0.25">
      <c r="G145" s="125"/>
      <c r="H145" s="42"/>
      <c r="I145" s="168"/>
      <c r="J145" s="169"/>
      <c r="K145" s="169"/>
      <c r="L145" s="169"/>
      <c r="M145" s="170"/>
    </row>
    <row r="146" spans="7:13" x14ac:dyDescent="0.25">
      <c r="G146" s="125"/>
      <c r="H146" s="42"/>
      <c r="I146" s="168"/>
      <c r="J146" s="169"/>
      <c r="K146" s="169"/>
      <c r="L146" s="169"/>
      <c r="M146" s="170"/>
    </row>
    <row r="147" spans="7:13" x14ac:dyDescent="0.25">
      <c r="G147" s="125"/>
      <c r="H147" s="42"/>
      <c r="I147" s="168"/>
      <c r="J147" s="169"/>
      <c r="K147" s="169"/>
      <c r="L147" s="169"/>
      <c r="M147" s="170"/>
    </row>
    <row r="148" spans="7:13" x14ac:dyDescent="0.25">
      <c r="G148" s="125"/>
      <c r="H148" s="42"/>
      <c r="I148" s="168"/>
      <c r="J148" s="169"/>
      <c r="K148" s="169"/>
      <c r="L148" s="169"/>
      <c r="M148" s="170"/>
    </row>
    <row r="149" spans="7:13" x14ac:dyDescent="0.25">
      <c r="G149" s="125"/>
      <c r="H149" s="42"/>
      <c r="I149" s="168"/>
      <c r="J149" s="169"/>
      <c r="K149" s="169"/>
      <c r="L149" s="169"/>
      <c r="M149" s="170"/>
    </row>
    <row r="150" spans="7:13" x14ac:dyDescent="0.25">
      <c r="G150" s="125"/>
      <c r="H150" s="42"/>
      <c r="I150" s="168"/>
      <c r="J150" s="169"/>
      <c r="K150" s="169"/>
      <c r="L150" s="169"/>
      <c r="M150" s="170"/>
    </row>
    <row r="151" spans="7:13" x14ac:dyDescent="0.25">
      <c r="G151" s="125"/>
      <c r="H151" s="42"/>
      <c r="I151" s="168"/>
      <c r="J151" s="169"/>
      <c r="K151" s="169"/>
      <c r="L151" s="169"/>
      <c r="M151" s="170"/>
    </row>
    <row r="152" spans="7:13" x14ac:dyDescent="0.25">
      <c r="G152" s="125"/>
      <c r="H152" s="42"/>
      <c r="I152" s="168"/>
      <c r="J152" s="169"/>
      <c r="K152" s="169"/>
      <c r="L152" s="169"/>
      <c r="M152" s="170"/>
    </row>
    <row r="153" spans="7:13" x14ac:dyDescent="0.25">
      <c r="G153" s="125"/>
      <c r="H153" s="42"/>
      <c r="I153" s="168"/>
      <c r="J153" s="169"/>
      <c r="K153" s="169"/>
      <c r="L153" s="169"/>
      <c r="M153" s="170"/>
    </row>
    <row r="154" spans="7:13" x14ac:dyDescent="0.25">
      <c r="G154" s="125"/>
      <c r="H154" s="42"/>
      <c r="I154" s="168"/>
      <c r="J154" s="169"/>
      <c r="K154" s="169"/>
      <c r="L154" s="169"/>
      <c r="M154" s="170"/>
    </row>
    <row r="155" spans="7:13" x14ac:dyDescent="0.25">
      <c r="G155" s="125"/>
      <c r="H155" s="42"/>
      <c r="I155" s="168"/>
      <c r="J155" s="169"/>
      <c r="K155" s="169"/>
      <c r="L155" s="169"/>
      <c r="M155" s="170"/>
    </row>
    <row r="156" spans="7:13" x14ac:dyDescent="0.25">
      <c r="G156" s="125"/>
      <c r="H156" s="42"/>
      <c r="I156" s="168"/>
      <c r="J156" s="169"/>
      <c r="K156" s="169"/>
      <c r="L156" s="169"/>
      <c r="M156" s="170"/>
    </row>
    <row r="157" spans="7:13" x14ac:dyDescent="0.25">
      <c r="G157" s="125"/>
      <c r="H157" s="42"/>
      <c r="I157" s="168"/>
      <c r="J157" s="169"/>
      <c r="K157" s="169"/>
      <c r="L157" s="169"/>
      <c r="M157" s="170"/>
    </row>
    <row r="158" spans="7:13" x14ac:dyDescent="0.25">
      <c r="G158" s="125"/>
      <c r="H158" s="42"/>
      <c r="I158" s="168"/>
      <c r="J158" s="169"/>
      <c r="K158" s="169"/>
      <c r="L158" s="169"/>
      <c r="M158" s="170"/>
    </row>
    <row r="159" spans="7:13" x14ac:dyDescent="0.25">
      <c r="G159" s="125"/>
      <c r="H159" s="42"/>
      <c r="I159" s="168"/>
      <c r="J159" s="169"/>
      <c r="K159" s="169"/>
      <c r="L159" s="169"/>
      <c r="M159" s="170"/>
    </row>
    <row r="160" spans="7:13" x14ac:dyDescent="0.25">
      <c r="G160" s="125"/>
      <c r="H160" s="42"/>
      <c r="I160" s="168"/>
      <c r="J160" s="169"/>
      <c r="K160" s="169"/>
      <c r="L160" s="169"/>
      <c r="M160" s="170"/>
    </row>
    <row r="161" spans="7:13" x14ac:dyDescent="0.25">
      <c r="G161" s="125"/>
      <c r="H161" s="42"/>
      <c r="I161" s="168"/>
      <c r="J161" s="169"/>
      <c r="K161" s="169"/>
      <c r="L161" s="169"/>
      <c r="M161" s="170"/>
    </row>
    <row r="162" spans="7:13" x14ac:dyDescent="0.25">
      <c r="G162" s="125"/>
      <c r="H162" s="42"/>
      <c r="I162" s="168"/>
      <c r="J162" s="169"/>
      <c r="K162" s="169"/>
      <c r="L162" s="169"/>
      <c r="M162" s="170"/>
    </row>
    <row r="163" spans="7:13" x14ac:dyDescent="0.25">
      <c r="G163" s="125"/>
      <c r="H163" s="42"/>
      <c r="I163" s="168"/>
      <c r="J163" s="169"/>
      <c r="K163" s="169"/>
      <c r="L163" s="169"/>
      <c r="M163" s="170"/>
    </row>
    <row r="164" spans="7:13" x14ac:dyDescent="0.25">
      <c r="G164" s="125"/>
      <c r="H164" s="42"/>
      <c r="I164" s="168"/>
      <c r="J164" s="169"/>
      <c r="K164" s="169"/>
      <c r="L164" s="169"/>
      <c r="M164" s="170"/>
    </row>
    <row r="165" spans="7:13" x14ac:dyDescent="0.25">
      <c r="G165" s="125"/>
      <c r="H165" s="42"/>
      <c r="I165" s="168"/>
      <c r="J165" s="169"/>
      <c r="K165" s="169"/>
      <c r="L165" s="169"/>
      <c r="M165" s="170"/>
    </row>
    <row r="166" spans="7:13" x14ac:dyDescent="0.25">
      <c r="G166" s="125"/>
      <c r="H166" s="42"/>
      <c r="I166" s="168"/>
      <c r="J166" s="169"/>
      <c r="K166" s="169"/>
      <c r="L166" s="169"/>
      <c r="M166" s="170"/>
    </row>
    <row r="167" spans="7:13" x14ac:dyDescent="0.25">
      <c r="G167" s="125"/>
      <c r="H167" s="42"/>
      <c r="I167" s="168"/>
      <c r="J167" s="169"/>
      <c r="K167" s="169"/>
      <c r="L167" s="169"/>
      <c r="M167" s="170"/>
    </row>
    <row r="168" spans="7:13" x14ac:dyDescent="0.25">
      <c r="G168" s="125"/>
      <c r="H168" s="42"/>
      <c r="I168" s="168"/>
      <c r="J168" s="169"/>
      <c r="K168" s="169"/>
      <c r="L168" s="169"/>
      <c r="M168" s="170"/>
    </row>
    <row r="169" spans="7:13" x14ac:dyDescent="0.25">
      <c r="G169" s="125"/>
      <c r="H169" s="42"/>
      <c r="I169" s="168"/>
      <c r="J169" s="169"/>
      <c r="K169" s="169"/>
      <c r="L169" s="169"/>
      <c r="M169" s="170"/>
    </row>
    <row r="170" spans="7:13" x14ac:dyDescent="0.25">
      <c r="G170" s="125"/>
      <c r="H170" s="42"/>
      <c r="I170" s="168"/>
      <c r="J170" s="169"/>
      <c r="K170" s="169"/>
      <c r="L170" s="169"/>
      <c r="M170" s="170"/>
    </row>
    <row r="171" spans="7:13" x14ac:dyDescent="0.25">
      <c r="G171" s="125"/>
      <c r="H171" s="42"/>
      <c r="I171" s="168"/>
      <c r="J171" s="169"/>
      <c r="K171" s="169"/>
      <c r="L171" s="169"/>
      <c r="M171" s="170"/>
    </row>
    <row r="172" spans="7:13" x14ac:dyDescent="0.25">
      <c r="G172" s="125"/>
      <c r="H172" s="42"/>
      <c r="I172" s="168"/>
      <c r="J172" s="169"/>
      <c r="K172" s="169"/>
      <c r="L172" s="169"/>
      <c r="M172" s="170"/>
    </row>
    <row r="173" spans="7:13" x14ac:dyDescent="0.25">
      <c r="G173" s="125"/>
      <c r="H173" s="42"/>
      <c r="I173" s="168"/>
      <c r="J173" s="169"/>
      <c r="K173" s="169"/>
      <c r="L173" s="169"/>
      <c r="M173" s="170"/>
    </row>
    <row r="174" spans="7:13" x14ac:dyDescent="0.25">
      <c r="G174" s="125"/>
      <c r="H174" s="42"/>
      <c r="I174" s="168"/>
      <c r="J174" s="169"/>
      <c r="K174" s="169"/>
      <c r="L174" s="169"/>
      <c r="M174" s="170"/>
    </row>
    <row r="175" spans="7:13" x14ac:dyDescent="0.25">
      <c r="G175" s="125"/>
      <c r="H175" s="42"/>
      <c r="I175" s="168"/>
      <c r="J175" s="169"/>
      <c r="K175" s="169"/>
      <c r="L175" s="169"/>
      <c r="M175" s="170"/>
    </row>
    <row r="176" spans="7:13" x14ac:dyDescent="0.25">
      <c r="G176" s="125"/>
      <c r="H176" s="42"/>
      <c r="I176" s="168"/>
      <c r="J176" s="169"/>
      <c r="K176" s="169"/>
      <c r="L176" s="169"/>
      <c r="M176" s="170"/>
    </row>
    <row r="177" spans="7:13" x14ac:dyDescent="0.25">
      <c r="G177" s="125"/>
      <c r="H177" s="42"/>
      <c r="I177" s="168"/>
      <c r="J177" s="169"/>
      <c r="K177" s="169"/>
      <c r="L177" s="169"/>
      <c r="M177" s="170"/>
    </row>
    <row r="178" spans="7:13" x14ac:dyDescent="0.25">
      <c r="G178" s="125"/>
      <c r="H178" s="42"/>
      <c r="I178" s="168"/>
      <c r="J178" s="169"/>
      <c r="K178" s="169"/>
      <c r="L178" s="169"/>
      <c r="M178" s="170"/>
    </row>
    <row r="179" spans="7:13" x14ac:dyDescent="0.25">
      <c r="G179" s="125"/>
      <c r="H179" s="42"/>
      <c r="I179" s="168"/>
      <c r="J179" s="169"/>
      <c r="K179" s="169"/>
      <c r="L179" s="169"/>
      <c r="M179" s="170"/>
    </row>
    <row r="180" spans="7:13" x14ac:dyDescent="0.25">
      <c r="G180" s="125"/>
      <c r="H180" s="42"/>
      <c r="I180" s="168"/>
      <c r="J180" s="169"/>
      <c r="K180" s="169"/>
      <c r="L180" s="169"/>
      <c r="M180" s="170"/>
    </row>
    <row r="181" spans="7:13" x14ac:dyDescent="0.25">
      <c r="G181" s="125"/>
      <c r="H181" s="42"/>
      <c r="I181" s="168"/>
      <c r="J181" s="169"/>
      <c r="K181" s="169"/>
      <c r="L181" s="169"/>
      <c r="M181" s="170"/>
    </row>
    <row r="182" spans="7:13" x14ac:dyDescent="0.25">
      <c r="G182" s="125"/>
      <c r="H182" s="42"/>
      <c r="I182" s="168"/>
      <c r="J182" s="169"/>
      <c r="K182" s="169"/>
      <c r="L182" s="169"/>
      <c r="M182" s="170"/>
    </row>
    <row r="183" spans="7:13" x14ac:dyDescent="0.25">
      <c r="G183" s="125"/>
      <c r="H183" s="42"/>
      <c r="I183" s="168"/>
      <c r="J183" s="169"/>
      <c r="K183" s="169"/>
      <c r="L183" s="169"/>
      <c r="M183" s="170"/>
    </row>
    <row r="184" spans="7:13" x14ac:dyDescent="0.25">
      <c r="G184" s="125"/>
      <c r="H184" s="42"/>
      <c r="I184" s="168"/>
      <c r="J184" s="169"/>
      <c r="K184" s="169"/>
      <c r="L184" s="169"/>
      <c r="M184" s="170"/>
    </row>
    <row r="185" spans="7:13" x14ac:dyDescent="0.25">
      <c r="G185" s="125"/>
      <c r="H185" s="42"/>
      <c r="I185" s="168"/>
      <c r="J185" s="169"/>
      <c r="K185" s="169"/>
      <c r="L185" s="169"/>
      <c r="M185" s="170"/>
    </row>
    <row r="186" spans="7:13" x14ac:dyDescent="0.25">
      <c r="G186" s="125"/>
      <c r="H186" s="42"/>
      <c r="I186" s="168"/>
      <c r="J186" s="169"/>
      <c r="K186" s="169"/>
      <c r="L186" s="169"/>
      <c r="M186" s="170"/>
    </row>
    <row r="187" spans="7:13" x14ac:dyDescent="0.25">
      <c r="G187" s="125"/>
      <c r="H187" s="42"/>
      <c r="I187" s="168"/>
      <c r="J187" s="169"/>
      <c r="K187" s="169"/>
      <c r="L187" s="169"/>
      <c r="M187" s="170"/>
    </row>
    <row r="188" spans="7:13" x14ac:dyDescent="0.25">
      <c r="G188" s="125"/>
      <c r="H188" s="42"/>
      <c r="I188" s="168"/>
      <c r="J188" s="169"/>
      <c r="K188" s="169"/>
      <c r="L188" s="169"/>
      <c r="M188" s="170"/>
    </row>
    <row r="189" spans="7:13" x14ac:dyDescent="0.25">
      <c r="G189" s="125"/>
      <c r="H189" s="42"/>
      <c r="I189" s="168"/>
      <c r="J189" s="169"/>
      <c r="K189" s="169"/>
      <c r="L189" s="169"/>
      <c r="M189" s="170"/>
    </row>
    <row r="190" spans="7:13" x14ac:dyDescent="0.25">
      <c r="G190" s="125"/>
      <c r="H190" s="42"/>
      <c r="I190" s="168"/>
      <c r="J190" s="169"/>
      <c r="K190" s="169"/>
      <c r="L190" s="169"/>
      <c r="M190" s="170"/>
    </row>
    <row r="191" spans="7:13" x14ac:dyDescent="0.25">
      <c r="G191" s="125"/>
      <c r="H191" s="42"/>
      <c r="I191" s="168"/>
      <c r="J191" s="169"/>
      <c r="K191" s="169"/>
      <c r="L191" s="169"/>
      <c r="M191" s="170"/>
    </row>
    <row r="192" spans="7:13" x14ac:dyDescent="0.25">
      <c r="G192" s="125"/>
      <c r="H192" s="42"/>
      <c r="I192" s="168"/>
      <c r="J192" s="169"/>
      <c r="K192" s="169"/>
      <c r="L192" s="169"/>
      <c r="M192" s="170"/>
    </row>
    <row r="193" spans="7:13" x14ac:dyDescent="0.25">
      <c r="G193" s="125"/>
      <c r="H193" s="42"/>
      <c r="I193" s="168"/>
      <c r="J193" s="169"/>
      <c r="K193" s="169"/>
      <c r="L193" s="169"/>
      <c r="M193" s="170"/>
    </row>
    <row r="194" spans="7:13" x14ac:dyDescent="0.25">
      <c r="G194" s="125"/>
      <c r="H194" s="42"/>
      <c r="I194" s="168"/>
      <c r="J194" s="169"/>
      <c r="K194" s="169"/>
      <c r="L194" s="169"/>
      <c r="M194" s="170"/>
    </row>
    <row r="195" spans="7:13" x14ac:dyDescent="0.25">
      <c r="G195" s="125"/>
      <c r="H195" s="42"/>
      <c r="I195" s="168"/>
      <c r="J195" s="169"/>
      <c r="K195" s="169"/>
      <c r="L195" s="169"/>
      <c r="M195" s="170"/>
    </row>
    <row r="196" spans="7:13" x14ac:dyDescent="0.25">
      <c r="G196" s="125"/>
      <c r="H196" s="42"/>
      <c r="I196" s="168"/>
      <c r="J196" s="169"/>
      <c r="K196" s="169"/>
      <c r="L196" s="169"/>
      <c r="M196" s="170"/>
    </row>
    <row r="197" spans="7:13" x14ac:dyDescent="0.25">
      <c r="G197" s="125"/>
      <c r="H197" s="42"/>
      <c r="I197" s="168"/>
      <c r="J197" s="169"/>
      <c r="K197" s="169"/>
      <c r="L197" s="169"/>
      <c r="M197" s="170"/>
    </row>
    <row r="198" spans="7:13" x14ac:dyDescent="0.25">
      <c r="G198" s="125"/>
      <c r="H198" s="42"/>
      <c r="I198" s="168"/>
      <c r="J198" s="169"/>
      <c r="K198" s="169"/>
      <c r="L198" s="169"/>
      <c r="M198" s="170"/>
    </row>
    <row r="199" spans="7:13" x14ac:dyDescent="0.25">
      <c r="G199" s="125"/>
      <c r="H199" s="42"/>
      <c r="I199" s="168"/>
      <c r="J199" s="169"/>
      <c r="K199" s="169"/>
      <c r="L199" s="169"/>
      <c r="M199" s="170"/>
    </row>
    <row r="200" spans="7:13" x14ac:dyDescent="0.25">
      <c r="G200" s="125"/>
      <c r="H200" s="42"/>
      <c r="I200" s="168"/>
      <c r="J200" s="169"/>
      <c r="K200" s="169"/>
      <c r="L200" s="169"/>
      <c r="M200" s="170"/>
    </row>
    <row r="201" spans="7:13" x14ac:dyDescent="0.25">
      <c r="G201" s="125"/>
      <c r="H201" s="42"/>
      <c r="I201" s="168"/>
      <c r="J201" s="169"/>
      <c r="K201" s="169"/>
      <c r="L201" s="169"/>
      <c r="M201" s="170"/>
    </row>
    <row r="202" spans="7:13" x14ac:dyDescent="0.25">
      <c r="G202" s="125"/>
      <c r="H202" s="42"/>
      <c r="I202" s="168"/>
      <c r="J202" s="169"/>
      <c r="K202" s="169"/>
      <c r="L202" s="169"/>
      <c r="M202" s="170"/>
    </row>
    <row r="203" spans="7:13" x14ac:dyDescent="0.25">
      <c r="G203" s="125"/>
      <c r="H203" s="42"/>
      <c r="I203" s="168"/>
      <c r="J203" s="169"/>
      <c r="K203" s="169"/>
      <c r="L203" s="169"/>
      <c r="M203" s="170"/>
    </row>
    <row r="204" spans="7:13" x14ac:dyDescent="0.25">
      <c r="G204" s="125"/>
      <c r="H204" s="42"/>
      <c r="I204" s="168"/>
      <c r="J204" s="169"/>
      <c r="K204" s="169"/>
      <c r="L204" s="169"/>
      <c r="M204" s="170"/>
    </row>
    <row r="205" spans="7:13" x14ac:dyDescent="0.25">
      <c r="G205" s="125"/>
      <c r="H205" s="42"/>
      <c r="I205" s="168"/>
      <c r="J205" s="169"/>
      <c r="K205" s="169"/>
      <c r="L205" s="169"/>
      <c r="M205" s="170"/>
    </row>
    <row r="206" spans="7:13" x14ac:dyDescent="0.25">
      <c r="G206" s="125"/>
      <c r="H206" s="42"/>
      <c r="I206" s="168"/>
      <c r="J206" s="169"/>
      <c r="K206" s="169"/>
      <c r="L206" s="169"/>
      <c r="M206" s="170"/>
    </row>
    <row r="207" spans="7:13" x14ac:dyDescent="0.25">
      <c r="G207" s="125"/>
      <c r="H207" s="42"/>
      <c r="I207" s="168"/>
      <c r="J207" s="169"/>
      <c r="K207" s="169"/>
      <c r="L207" s="169"/>
      <c r="M207" s="170"/>
    </row>
    <row r="208" spans="7:13" x14ac:dyDescent="0.25">
      <c r="G208" s="125"/>
      <c r="H208" s="42"/>
      <c r="I208" s="168"/>
      <c r="J208" s="169"/>
      <c r="K208" s="169"/>
      <c r="L208" s="169"/>
      <c r="M208" s="170"/>
    </row>
    <row r="209" spans="7:13" x14ac:dyDescent="0.25">
      <c r="G209" s="125"/>
      <c r="H209" s="42"/>
      <c r="I209" s="168"/>
      <c r="J209" s="169"/>
      <c r="K209" s="169"/>
      <c r="L209" s="169"/>
      <c r="M209" s="170"/>
    </row>
    <row r="210" spans="7:13" x14ac:dyDescent="0.25">
      <c r="G210" s="125"/>
      <c r="H210" s="42"/>
      <c r="I210" s="168"/>
      <c r="J210" s="169"/>
      <c r="K210" s="169"/>
      <c r="L210" s="169"/>
      <c r="M210" s="170"/>
    </row>
    <row r="211" spans="7:13" x14ac:dyDescent="0.25">
      <c r="G211" s="125"/>
      <c r="H211" s="42"/>
      <c r="I211" s="168"/>
      <c r="J211" s="169"/>
      <c r="K211" s="169"/>
      <c r="L211" s="169"/>
      <c r="M211" s="170"/>
    </row>
    <row r="212" spans="7:13" x14ac:dyDescent="0.25">
      <c r="G212" s="125"/>
      <c r="H212" s="42"/>
      <c r="I212" s="168"/>
      <c r="J212" s="169"/>
      <c r="K212" s="169"/>
      <c r="L212" s="169"/>
      <c r="M212" s="170"/>
    </row>
    <row r="213" spans="7:13" x14ac:dyDescent="0.25">
      <c r="G213" s="125"/>
      <c r="H213" s="42"/>
      <c r="I213" s="168"/>
      <c r="J213" s="169"/>
      <c r="K213" s="169"/>
      <c r="L213" s="169"/>
      <c r="M213" s="170"/>
    </row>
    <row r="214" spans="7:13" x14ac:dyDescent="0.25">
      <c r="G214" s="125"/>
      <c r="H214" s="42"/>
      <c r="I214" s="168"/>
      <c r="J214" s="169"/>
      <c r="K214" s="169"/>
      <c r="L214" s="169"/>
      <c r="M214" s="170"/>
    </row>
    <row r="215" spans="7:13" x14ac:dyDescent="0.25">
      <c r="G215" s="125"/>
      <c r="H215" s="42"/>
      <c r="I215" s="168"/>
      <c r="J215" s="169"/>
      <c r="K215" s="169"/>
      <c r="L215" s="169"/>
      <c r="M215" s="170"/>
    </row>
    <row r="216" spans="7:13" x14ac:dyDescent="0.25">
      <c r="G216" s="125"/>
      <c r="H216" s="42"/>
      <c r="I216" s="168"/>
      <c r="J216" s="169"/>
      <c r="K216" s="169"/>
      <c r="L216" s="169"/>
      <c r="M216" s="170"/>
    </row>
    <row r="217" spans="7:13" x14ac:dyDescent="0.25">
      <c r="G217" s="125"/>
      <c r="H217" s="42"/>
      <c r="I217" s="168"/>
      <c r="J217" s="169"/>
      <c r="K217" s="169"/>
      <c r="L217" s="169"/>
      <c r="M217" s="170"/>
    </row>
    <row r="218" spans="7:13" x14ac:dyDescent="0.25">
      <c r="G218" s="125"/>
      <c r="H218" s="42"/>
      <c r="I218" s="168"/>
      <c r="J218" s="169"/>
      <c r="K218" s="169"/>
      <c r="L218" s="169"/>
      <c r="M218" s="170"/>
    </row>
    <row r="219" spans="7:13" x14ac:dyDescent="0.25">
      <c r="G219" s="125"/>
      <c r="H219" s="42"/>
      <c r="I219" s="168"/>
      <c r="J219" s="169"/>
      <c r="K219" s="169"/>
      <c r="L219" s="169"/>
      <c r="M219" s="170"/>
    </row>
    <row r="220" spans="7:13" x14ac:dyDescent="0.25">
      <c r="G220" s="125"/>
      <c r="H220" s="42"/>
      <c r="I220" s="168"/>
      <c r="J220" s="169"/>
      <c r="K220" s="169"/>
      <c r="L220" s="169"/>
      <c r="M220" s="170"/>
    </row>
    <row r="221" spans="7:13" x14ac:dyDescent="0.25">
      <c r="G221" s="125"/>
      <c r="H221" s="42"/>
      <c r="I221" s="168"/>
      <c r="J221" s="169"/>
      <c r="K221" s="169"/>
      <c r="L221" s="169"/>
      <c r="M221" s="170"/>
    </row>
    <row r="222" spans="7:13" x14ac:dyDescent="0.25">
      <c r="G222" s="125"/>
      <c r="H222" s="42"/>
      <c r="I222" s="168"/>
      <c r="J222" s="169"/>
      <c r="K222" s="169"/>
      <c r="L222" s="169"/>
      <c r="M222" s="170"/>
    </row>
    <row r="223" spans="7:13" x14ac:dyDescent="0.25">
      <c r="G223" s="125"/>
      <c r="H223" s="42"/>
      <c r="I223" s="168"/>
      <c r="J223" s="169"/>
      <c r="K223" s="169"/>
      <c r="L223" s="169"/>
      <c r="M223" s="170"/>
    </row>
    <row r="224" spans="7:13" x14ac:dyDescent="0.25">
      <c r="G224" s="125"/>
      <c r="H224" s="42"/>
      <c r="I224" s="168"/>
      <c r="J224" s="169"/>
      <c r="K224" s="169"/>
      <c r="L224" s="169"/>
      <c r="M224" s="170"/>
    </row>
    <row r="225" spans="7:13" x14ac:dyDescent="0.25">
      <c r="G225" s="125"/>
      <c r="H225" s="42"/>
      <c r="I225" s="168"/>
      <c r="J225" s="169"/>
      <c r="K225" s="169"/>
      <c r="L225" s="169"/>
      <c r="M225" s="170"/>
    </row>
    <row r="226" spans="7:13" x14ac:dyDescent="0.25">
      <c r="G226" s="125"/>
      <c r="H226" s="42"/>
      <c r="I226" s="168"/>
      <c r="J226" s="169"/>
      <c r="K226" s="169"/>
      <c r="L226" s="169"/>
      <c r="M226" s="170"/>
    </row>
    <row r="227" spans="7:13" x14ac:dyDescent="0.25">
      <c r="G227" s="125"/>
      <c r="H227" s="42"/>
      <c r="I227" s="168"/>
      <c r="J227" s="169"/>
      <c r="K227" s="169"/>
      <c r="L227" s="169"/>
      <c r="M227" s="170"/>
    </row>
    <row r="228" spans="7:13" x14ac:dyDescent="0.25">
      <c r="G228" s="125"/>
      <c r="H228" s="42"/>
      <c r="I228" s="168"/>
      <c r="J228" s="169"/>
      <c r="K228" s="169"/>
      <c r="L228" s="169"/>
      <c r="M228" s="170"/>
    </row>
    <row r="229" spans="7:13" x14ac:dyDescent="0.25">
      <c r="G229" s="125"/>
      <c r="H229" s="42"/>
      <c r="I229" s="168"/>
      <c r="J229" s="169"/>
      <c r="K229" s="169"/>
      <c r="L229" s="169"/>
      <c r="M229" s="170"/>
    </row>
    <row r="230" spans="7:13" x14ac:dyDescent="0.25">
      <c r="G230" s="125"/>
      <c r="H230" s="42"/>
      <c r="I230" s="168"/>
      <c r="J230" s="169"/>
      <c r="K230" s="169"/>
      <c r="L230" s="169"/>
      <c r="M230" s="170"/>
    </row>
    <row r="231" spans="7:13" x14ac:dyDescent="0.25">
      <c r="G231" s="125"/>
      <c r="H231" s="42"/>
      <c r="I231" s="168"/>
      <c r="J231" s="169"/>
      <c r="K231" s="169"/>
      <c r="L231" s="169"/>
      <c r="M231" s="170"/>
    </row>
    <row r="232" spans="7:13" x14ac:dyDescent="0.25">
      <c r="G232" s="125"/>
      <c r="H232" s="42"/>
      <c r="I232" s="168"/>
      <c r="J232" s="169"/>
      <c r="K232" s="169"/>
      <c r="L232" s="169"/>
      <c r="M232" s="170"/>
    </row>
    <row r="233" spans="7:13" x14ac:dyDescent="0.25">
      <c r="G233" s="125"/>
      <c r="H233" s="42"/>
      <c r="I233" s="168"/>
      <c r="J233" s="169"/>
      <c r="K233" s="169"/>
      <c r="L233" s="169"/>
      <c r="M233" s="170"/>
    </row>
    <row r="234" spans="7:13" x14ac:dyDescent="0.25">
      <c r="G234" s="125"/>
      <c r="H234" s="42"/>
      <c r="I234" s="168"/>
      <c r="J234" s="169"/>
      <c r="K234" s="169"/>
      <c r="L234" s="169"/>
      <c r="M234" s="170"/>
    </row>
    <row r="235" spans="7:13" x14ac:dyDescent="0.25">
      <c r="G235" s="125"/>
      <c r="H235" s="42"/>
      <c r="I235" s="168"/>
      <c r="J235" s="169"/>
      <c r="K235" s="169"/>
      <c r="L235" s="169"/>
      <c r="M235" s="170"/>
    </row>
    <row r="236" spans="7:13" x14ac:dyDescent="0.25">
      <c r="G236" s="125"/>
      <c r="H236" s="42"/>
      <c r="I236" s="168"/>
      <c r="J236" s="169"/>
      <c r="K236" s="169"/>
      <c r="L236" s="169"/>
      <c r="M236" s="170"/>
    </row>
    <row r="237" spans="7:13" x14ac:dyDescent="0.25">
      <c r="G237" s="125"/>
      <c r="H237" s="42"/>
      <c r="I237" s="168"/>
      <c r="J237" s="169"/>
      <c r="K237" s="169"/>
      <c r="L237" s="169"/>
      <c r="M237" s="170"/>
    </row>
    <row r="238" spans="7:13" x14ac:dyDescent="0.25">
      <c r="G238" s="125"/>
      <c r="H238" s="42"/>
      <c r="I238" s="168"/>
      <c r="J238" s="169"/>
      <c r="K238" s="169"/>
      <c r="L238" s="169"/>
      <c r="M238" s="170"/>
    </row>
    <row r="239" spans="7:13" x14ac:dyDescent="0.25">
      <c r="G239" s="125"/>
      <c r="H239" s="42"/>
      <c r="I239" s="168"/>
      <c r="J239" s="169"/>
      <c r="K239" s="169"/>
      <c r="L239" s="169"/>
      <c r="M239" s="170"/>
    </row>
    <row r="240" spans="7:13" x14ac:dyDescent="0.25">
      <c r="G240" s="125"/>
      <c r="H240" s="42"/>
      <c r="I240" s="168"/>
      <c r="J240" s="169"/>
      <c r="K240" s="169"/>
      <c r="L240" s="169"/>
      <c r="M240" s="170"/>
    </row>
    <row r="241" spans="7:13" x14ac:dyDescent="0.25">
      <c r="G241" s="125"/>
      <c r="H241" s="42"/>
      <c r="I241" s="168"/>
      <c r="J241" s="169"/>
      <c r="K241" s="169"/>
      <c r="L241" s="169"/>
      <c r="M241" s="170"/>
    </row>
    <row r="242" spans="7:13" x14ac:dyDescent="0.25">
      <c r="G242" s="125"/>
      <c r="H242" s="42"/>
      <c r="I242" s="168"/>
      <c r="J242" s="169"/>
      <c r="K242" s="169"/>
      <c r="L242" s="169"/>
      <c r="M242" s="170"/>
    </row>
    <row r="243" spans="7:13" x14ac:dyDescent="0.25">
      <c r="G243" s="125"/>
      <c r="H243" s="42"/>
      <c r="I243" s="168"/>
      <c r="J243" s="169"/>
      <c r="K243" s="169"/>
      <c r="L243" s="169"/>
      <c r="M243" s="170"/>
    </row>
    <row r="244" spans="7:13" x14ac:dyDescent="0.25">
      <c r="G244" s="125"/>
      <c r="H244" s="42"/>
      <c r="I244" s="168"/>
      <c r="J244" s="169"/>
      <c r="K244" s="169"/>
      <c r="L244" s="169"/>
      <c r="M244" s="170"/>
    </row>
    <row r="245" spans="7:13" x14ac:dyDescent="0.25">
      <c r="G245" s="125"/>
      <c r="H245" s="42"/>
      <c r="I245" s="168"/>
      <c r="J245" s="169"/>
      <c r="K245" s="169"/>
      <c r="L245" s="169"/>
      <c r="M245" s="170"/>
    </row>
    <row r="246" spans="7:13" x14ac:dyDescent="0.25">
      <c r="G246" s="125"/>
      <c r="H246" s="42"/>
      <c r="I246" s="168"/>
      <c r="J246" s="169"/>
      <c r="K246" s="169"/>
      <c r="L246" s="169"/>
      <c r="M246" s="170"/>
    </row>
    <row r="247" spans="7:13" x14ac:dyDescent="0.25">
      <c r="G247" s="125"/>
      <c r="H247" s="42"/>
      <c r="I247" s="168"/>
      <c r="J247" s="169"/>
      <c r="K247" s="169"/>
      <c r="L247" s="169"/>
      <c r="M247" s="170"/>
    </row>
    <row r="248" spans="7:13" x14ac:dyDescent="0.25">
      <c r="G248" s="125"/>
      <c r="H248" s="42"/>
      <c r="I248" s="168"/>
      <c r="J248" s="169"/>
      <c r="K248" s="169"/>
      <c r="L248" s="169"/>
      <c r="M248" s="170"/>
    </row>
    <row r="249" spans="7:13" x14ac:dyDescent="0.25">
      <c r="G249" s="125"/>
      <c r="H249" s="42"/>
      <c r="I249" s="168"/>
      <c r="J249" s="169"/>
      <c r="K249" s="169"/>
      <c r="L249" s="169"/>
      <c r="M249" s="170"/>
    </row>
    <row r="250" spans="7:13" x14ac:dyDescent="0.25">
      <c r="G250" s="125"/>
      <c r="H250" s="42"/>
      <c r="I250" s="168"/>
      <c r="J250" s="169"/>
      <c r="K250" s="169"/>
      <c r="L250" s="169"/>
      <c r="M250" s="170"/>
    </row>
    <row r="251" spans="7:13" x14ac:dyDescent="0.25">
      <c r="G251" s="125"/>
      <c r="H251" s="42"/>
      <c r="I251" s="168"/>
      <c r="J251" s="169"/>
      <c r="K251" s="169"/>
      <c r="L251" s="169"/>
      <c r="M251" s="170"/>
    </row>
    <row r="252" spans="7:13" x14ac:dyDescent="0.25">
      <c r="G252" s="125"/>
      <c r="H252" s="42"/>
      <c r="I252" s="168"/>
      <c r="J252" s="169"/>
      <c r="K252" s="169"/>
      <c r="L252" s="169"/>
      <c r="M252" s="170"/>
    </row>
    <row r="253" spans="7:13" x14ac:dyDescent="0.25">
      <c r="G253" s="125"/>
      <c r="H253" s="42"/>
      <c r="I253" s="168"/>
      <c r="J253" s="169"/>
      <c r="K253" s="169"/>
      <c r="L253" s="169"/>
      <c r="M253" s="170"/>
    </row>
  </sheetData>
  <sheetProtection sheet="1" objects="1" scenarios="1"/>
  <mergeCells count="286">
    <mergeCell ref="D59:E60"/>
    <mergeCell ref="D63:E64"/>
    <mergeCell ref="D61:E62"/>
    <mergeCell ref="D65:E66"/>
    <mergeCell ref="J65:J66"/>
    <mergeCell ref="K65:K66"/>
    <mergeCell ref="J59:J60"/>
    <mergeCell ref="K59:K60"/>
    <mergeCell ref="J61:J62"/>
    <mergeCell ref="K61:K62"/>
    <mergeCell ref="J63:J64"/>
    <mergeCell ref="K63:K64"/>
    <mergeCell ref="H65:H66"/>
    <mergeCell ref="I65:I66"/>
    <mergeCell ref="H63:H64"/>
    <mergeCell ref="H59:H60"/>
    <mergeCell ref="I59:I60"/>
    <mergeCell ref="A2:C2"/>
    <mergeCell ref="G14:H14"/>
    <mergeCell ref="G15:H15"/>
    <mergeCell ref="J49:J50"/>
    <mergeCell ref="H49:H50"/>
    <mergeCell ref="D45:E48"/>
    <mergeCell ref="D49:E50"/>
    <mergeCell ref="D51:E52"/>
    <mergeCell ref="D57:E58"/>
    <mergeCell ref="H45:H48"/>
    <mergeCell ref="H43:K43"/>
    <mergeCell ref="D53:E55"/>
    <mergeCell ref="D56:E56"/>
    <mergeCell ref="E8:I8"/>
    <mergeCell ref="E2:I2"/>
    <mergeCell ref="E3:I3"/>
    <mergeCell ref="E4:I4"/>
    <mergeCell ref="E5:I5"/>
    <mergeCell ref="E6:I6"/>
    <mergeCell ref="K49:K50"/>
    <mergeCell ref="H51:H52"/>
    <mergeCell ref="I51:I52"/>
    <mergeCell ref="H57:H58"/>
    <mergeCell ref="I57:I58"/>
    <mergeCell ref="N15:AC15"/>
    <mergeCell ref="G16:H16"/>
    <mergeCell ref="O16:T16"/>
    <mergeCell ref="U16:V16"/>
    <mergeCell ref="AC17:AC21"/>
    <mergeCell ref="G18:H18"/>
    <mergeCell ref="O18:T18"/>
    <mergeCell ref="U18:V18"/>
    <mergeCell ref="O19:T19"/>
    <mergeCell ref="U19:V19"/>
    <mergeCell ref="O20:T20"/>
    <mergeCell ref="G17:H17"/>
    <mergeCell ref="O17:T17"/>
    <mergeCell ref="U17:V17"/>
    <mergeCell ref="U20:V20"/>
    <mergeCell ref="O21:T21"/>
    <mergeCell ref="U21:V21"/>
    <mergeCell ref="N57:Q57"/>
    <mergeCell ref="N36:W36"/>
    <mergeCell ref="N37:R37"/>
    <mergeCell ref="N38:R39"/>
    <mergeCell ref="S39:W39"/>
    <mergeCell ref="N41:W41"/>
    <mergeCell ref="N42:R42"/>
    <mergeCell ref="J45:J48"/>
    <mergeCell ref="K45:K48"/>
    <mergeCell ref="J51:J52"/>
    <mergeCell ref="K51:K52"/>
    <mergeCell ref="N44:R44"/>
    <mergeCell ref="H53:H55"/>
    <mergeCell ref="H61:H62"/>
    <mergeCell ref="I61:I62"/>
    <mergeCell ref="I70:M70"/>
    <mergeCell ref="I69:M69"/>
    <mergeCell ref="I71:M71"/>
    <mergeCell ref="I72:M72"/>
    <mergeCell ref="I73:M73"/>
    <mergeCell ref="I74:M74"/>
    <mergeCell ref="J53:J55"/>
    <mergeCell ref="K53:K55"/>
    <mergeCell ref="J57:J58"/>
    <mergeCell ref="K57:K58"/>
    <mergeCell ref="I75:M75"/>
    <mergeCell ref="I76:M76"/>
    <mergeCell ref="I77:M77"/>
    <mergeCell ref="I78:M78"/>
    <mergeCell ref="I79:M79"/>
    <mergeCell ref="I80:M80"/>
    <mergeCell ref="I81:M81"/>
    <mergeCell ref="I82:M82"/>
    <mergeCell ref="I83:M83"/>
    <mergeCell ref="I84:M84"/>
    <mergeCell ref="I85:M85"/>
    <mergeCell ref="I86:M86"/>
    <mergeCell ref="I87:M87"/>
    <mergeCell ref="I88:M88"/>
    <mergeCell ref="I89:M89"/>
    <mergeCell ref="I90:M90"/>
    <mergeCell ref="I91:M91"/>
    <mergeCell ref="I92:M92"/>
    <mergeCell ref="I93:M93"/>
    <mergeCell ref="I94:M94"/>
    <mergeCell ref="I95:M95"/>
    <mergeCell ref="I96:M96"/>
    <mergeCell ref="I97:M97"/>
    <mergeCell ref="I98:M98"/>
    <mergeCell ref="I99:M99"/>
    <mergeCell ref="I100:M100"/>
    <mergeCell ref="I101:M101"/>
    <mergeCell ref="I102:M102"/>
    <mergeCell ref="I103:M103"/>
    <mergeCell ref="I104:M104"/>
    <mergeCell ref="I105:M105"/>
    <mergeCell ref="I106:M106"/>
    <mergeCell ref="I107:M107"/>
    <mergeCell ref="I108:M108"/>
    <mergeCell ref="I109:M109"/>
    <mergeCell ref="I110:M110"/>
    <mergeCell ref="I111:M111"/>
    <mergeCell ref="I112:M112"/>
    <mergeCell ref="I113:M113"/>
    <mergeCell ref="I114:M114"/>
    <mergeCell ref="I115:M115"/>
    <mergeCell ref="I116:M116"/>
    <mergeCell ref="I117:M117"/>
    <mergeCell ref="I118:M118"/>
    <mergeCell ref="I119:M119"/>
    <mergeCell ref="I120:M120"/>
    <mergeCell ref="I121:M121"/>
    <mergeCell ref="I122:M122"/>
    <mergeCell ref="I123:M123"/>
    <mergeCell ref="I124:M124"/>
    <mergeCell ref="I125:M125"/>
    <mergeCell ref="I126:M126"/>
    <mergeCell ref="I127:M127"/>
    <mergeCell ref="I128:M128"/>
    <mergeCell ref="I129:M129"/>
    <mergeCell ref="I130:M130"/>
    <mergeCell ref="I131:M131"/>
    <mergeCell ref="I132:M132"/>
    <mergeCell ref="I133:M133"/>
    <mergeCell ref="I134:M134"/>
    <mergeCell ref="I135:M135"/>
    <mergeCell ref="I136:M136"/>
    <mergeCell ref="I137:M137"/>
    <mergeCell ref="I138:M138"/>
    <mergeCell ref="I139:M139"/>
    <mergeCell ref="I140:M140"/>
    <mergeCell ref="I141:M141"/>
    <mergeCell ref="I142:M142"/>
    <mergeCell ref="I143:M143"/>
    <mergeCell ref="I144:M144"/>
    <mergeCell ref="I145:M145"/>
    <mergeCell ref="I146:M146"/>
    <mergeCell ref="I147:M147"/>
    <mergeCell ref="I148:M148"/>
    <mergeCell ref="I149:M149"/>
    <mergeCell ref="I150:M150"/>
    <mergeCell ref="I151:M151"/>
    <mergeCell ref="I152:M152"/>
    <mergeCell ref="I153:M153"/>
    <mergeCell ref="I154:M154"/>
    <mergeCell ref="I155:M155"/>
    <mergeCell ref="I156:M156"/>
    <mergeCell ref="I157:M157"/>
    <mergeCell ref="I158:M158"/>
    <mergeCell ref="I159:M159"/>
    <mergeCell ref="I160:M160"/>
    <mergeCell ref="I161:M161"/>
    <mergeCell ref="I162:M162"/>
    <mergeCell ref="I163:M163"/>
    <mergeCell ref="I164:M164"/>
    <mergeCell ref="I165:M165"/>
    <mergeCell ref="I166:M166"/>
    <mergeCell ref="I167:M167"/>
    <mergeCell ref="I168:M168"/>
    <mergeCell ref="I169:M169"/>
    <mergeCell ref="I170:M170"/>
    <mergeCell ref="I171:M171"/>
    <mergeCell ref="I172:M172"/>
    <mergeCell ref="I173:M173"/>
    <mergeCell ref="I174:M174"/>
    <mergeCell ref="I175:M175"/>
    <mergeCell ref="I176:M176"/>
    <mergeCell ref="I177:M177"/>
    <mergeCell ref="I178:M178"/>
    <mergeCell ref="I179:M179"/>
    <mergeCell ref="I180:M180"/>
    <mergeCell ref="I181:M181"/>
    <mergeCell ref="I182:M182"/>
    <mergeCell ref="I183:M183"/>
    <mergeCell ref="I184:M184"/>
    <mergeCell ref="I185:M185"/>
    <mergeCell ref="I186:M186"/>
    <mergeCell ref="I187:M187"/>
    <mergeCell ref="I188:M188"/>
    <mergeCell ref="I189:M189"/>
    <mergeCell ref="I190:M190"/>
    <mergeCell ref="I191:M191"/>
    <mergeCell ref="I192:M192"/>
    <mergeCell ref="I193:M193"/>
    <mergeCell ref="I194:M194"/>
    <mergeCell ref="I195:M195"/>
    <mergeCell ref="I196:M196"/>
    <mergeCell ref="I197:M197"/>
    <mergeCell ref="I198:M198"/>
    <mergeCell ref="I199:M199"/>
    <mergeCell ref="I200:M200"/>
    <mergeCell ref="I201:M201"/>
    <mergeCell ref="I202:M202"/>
    <mergeCell ref="I203:M203"/>
    <mergeCell ref="I204:M204"/>
    <mergeCell ref="I205:M205"/>
    <mergeCell ref="I206:M206"/>
    <mergeCell ref="I207:M207"/>
    <mergeCell ref="I208:M208"/>
    <mergeCell ref="I209:M209"/>
    <mergeCell ref="I210:M210"/>
    <mergeCell ref="I211:M211"/>
    <mergeCell ref="I212:M212"/>
    <mergeCell ref="I213:M213"/>
    <mergeCell ref="I214:M214"/>
    <mergeCell ref="I215:M215"/>
    <mergeCell ref="I216:M216"/>
    <mergeCell ref="I217:M217"/>
    <mergeCell ref="I218:M218"/>
    <mergeCell ref="I219:M219"/>
    <mergeCell ref="I220:M220"/>
    <mergeCell ref="I221:M221"/>
    <mergeCell ref="I222:M222"/>
    <mergeCell ref="I223:M223"/>
    <mergeCell ref="I224:M224"/>
    <mergeCell ref="I225:M225"/>
    <mergeCell ref="I226:M226"/>
    <mergeCell ref="I227:M227"/>
    <mergeCell ref="N24:W24"/>
    <mergeCell ref="N49:R49"/>
    <mergeCell ref="N50:R50"/>
    <mergeCell ref="N51:R51"/>
    <mergeCell ref="N60:W62"/>
    <mergeCell ref="O25:T25"/>
    <mergeCell ref="U25:V25"/>
    <mergeCell ref="O26:T26"/>
    <mergeCell ref="U26:V26"/>
    <mergeCell ref="O27:T27"/>
    <mergeCell ref="U27:V27"/>
    <mergeCell ref="O28:T28"/>
    <mergeCell ref="U28:V28"/>
    <mergeCell ref="O29:T29"/>
    <mergeCell ref="U29:V29"/>
    <mergeCell ref="N55:W55"/>
    <mergeCell ref="N48:R48"/>
    <mergeCell ref="N43:R43"/>
    <mergeCell ref="N58:Q58"/>
    <mergeCell ref="N59:Q59"/>
    <mergeCell ref="N45:R45"/>
    <mergeCell ref="N46:R46"/>
    <mergeCell ref="N47:R47"/>
    <mergeCell ref="N56:Q56"/>
    <mergeCell ref="I251:M251"/>
    <mergeCell ref="I252:M252"/>
    <mergeCell ref="I253:M253"/>
    <mergeCell ref="I243:M243"/>
    <mergeCell ref="I244:M244"/>
    <mergeCell ref="I245:M245"/>
    <mergeCell ref="I246:M246"/>
    <mergeCell ref="I247:M247"/>
    <mergeCell ref="I248:M248"/>
    <mergeCell ref="I237:M237"/>
    <mergeCell ref="I238:M238"/>
    <mergeCell ref="I239:M239"/>
    <mergeCell ref="I240:M240"/>
    <mergeCell ref="I241:M241"/>
    <mergeCell ref="I242:M242"/>
    <mergeCell ref="I249:M249"/>
    <mergeCell ref="I250:M250"/>
    <mergeCell ref="I228:M228"/>
    <mergeCell ref="I229:M229"/>
    <mergeCell ref="I230:M230"/>
    <mergeCell ref="I231:M231"/>
    <mergeCell ref="I232:M232"/>
    <mergeCell ref="I233:M233"/>
    <mergeCell ref="I234:M234"/>
    <mergeCell ref="I235:M235"/>
    <mergeCell ref="I236:M23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6"/>
  <sheetViews>
    <sheetView view="pageLayout" topLeftCell="A43" zoomScaleNormal="100" workbookViewId="0">
      <selection activeCell="E44" sqref="E44"/>
    </sheetView>
  </sheetViews>
  <sheetFormatPr baseColWidth="10" defaultRowHeight="15" x14ac:dyDescent="0.25"/>
  <cols>
    <col min="8" max="8" width="15.5703125" customWidth="1"/>
  </cols>
  <sheetData>
    <row r="1" spans="1:8" x14ac:dyDescent="0.25">
      <c r="A1" s="264" t="str">
        <f>+" "&amp;Datos!B19&amp;"  "&amp;Datos!C19&amp;""</f>
        <v xml:space="preserve"> ESTUDIOS PREVIOS No. EP.   004-2020</v>
      </c>
      <c r="B1" s="264"/>
      <c r="C1" s="264"/>
      <c r="D1" s="264"/>
      <c r="E1" s="264"/>
      <c r="F1" s="264"/>
      <c r="G1" s="264"/>
      <c r="H1" s="264"/>
    </row>
    <row r="2" spans="1:8" x14ac:dyDescent="0.25">
      <c r="A2" s="262" t="str">
        <f>+"Fecha: "&amp;Datos!J45&amp;" "</f>
        <v xml:space="preserve">Fecha: 30 de marzo de 2020 </v>
      </c>
      <c r="B2" s="262"/>
      <c r="C2" s="262"/>
      <c r="D2" s="262"/>
      <c r="E2" s="262"/>
      <c r="F2" s="262"/>
      <c r="G2" s="262"/>
      <c r="H2" s="262"/>
    </row>
    <row r="3" spans="1:8" ht="10.5" customHeight="1" x14ac:dyDescent="0.25"/>
    <row r="4" spans="1:8" ht="81" customHeight="1" x14ac:dyDescent="0.25">
      <c r="A4" s="261" t="str">
        <f>+"DEFINICIÓN DE LA NECESIDAD: La Institución Educativa debe garantizar la continuidad en el servicio educativo que presta, siendo  esencial: "&amp;Datos!E8&amp;". Estos servicios están acordes con las necesidades priorizadas y requerimientos establecidos en el plan general de compras para el normal funcionamiento de la entidad."</f>
        <v>DEFINICIÓN DE LA NECESIDAD: La Institución Educativa debe garantizar la continuidad en el servicio educativo que presta, siendo  esencial: ASESORÍA DE FONDOS DE SERVICIOS EDUCATIVOS PARA GARANTIZAR EL CORRECTO DESARROLLO CONTABLE Y LA PRESENTACIÓN DE INFORMES A LA SECRETARÍA DE EDUCACIÓN Y LAS DEPENDENCIAS QUE LO REQUIERAN. Estos servicios están acordes con las necesidades priorizadas y requerimientos establecidos en el plan general de compras para el normal funcionamiento de la entidad.</v>
      </c>
      <c r="B4" s="261"/>
      <c r="C4" s="261"/>
      <c r="D4" s="261"/>
      <c r="E4" s="261"/>
      <c r="F4" s="261"/>
      <c r="G4" s="261"/>
      <c r="H4" s="261"/>
    </row>
    <row r="5" spans="1:8" x14ac:dyDescent="0.25">
      <c r="A5" s="108"/>
      <c r="B5" s="108"/>
      <c r="C5" s="108"/>
      <c r="D5" s="108"/>
      <c r="E5" s="108"/>
      <c r="F5" s="108"/>
      <c r="G5" s="108"/>
      <c r="H5" s="108"/>
    </row>
    <row r="6" spans="1:8" x14ac:dyDescent="0.25">
      <c r="A6" s="265" t="str">
        <f>+"OBJETO A CONTRATAR: "&amp;Datos!C8&amp;". "</f>
        <v xml:space="preserve">OBJETO A CONTRATAR: ASESORÍA CONTABLE DE FONDOS DE SERVICIOS EDUCATIVOS . </v>
      </c>
      <c r="B6" s="265"/>
      <c r="C6" s="265"/>
      <c r="D6" s="265"/>
      <c r="E6" s="265"/>
      <c r="F6" s="265"/>
      <c r="G6" s="265"/>
      <c r="H6" s="265"/>
    </row>
    <row r="7" spans="1:8" x14ac:dyDescent="0.25">
      <c r="A7" s="108"/>
      <c r="B7" s="108"/>
      <c r="C7" s="108"/>
      <c r="D7" s="108"/>
      <c r="E7" s="108"/>
      <c r="F7" s="108"/>
      <c r="G7" s="108"/>
      <c r="H7" s="108"/>
    </row>
    <row r="8" spans="1:8" ht="32.25" customHeight="1" x14ac:dyDescent="0.25">
      <c r="A8" s="261" t="s">
        <v>256</v>
      </c>
      <c r="B8" s="261"/>
      <c r="C8" s="261"/>
      <c r="D8" s="261"/>
      <c r="E8" s="261"/>
      <c r="F8" s="261"/>
      <c r="G8" s="261"/>
      <c r="H8" s="261"/>
    </row>
    <row r="9" spans="1:8" x14ac:dyDescent="0.25">
      <c r="A9" s="9"/>
      <c r="B9" s="9"/>
      <c r="C9" s="9"/>
      <c r="D9" s="9"/>
      <c r="E9" s="9"/>
      <c r="F9" s="9"/>
      <c r="G9" s="9"/>
      <c r="H9" s="9"/>
    </row>
    <row r="10" spans="1:8" ht="13.5" customHeight="1" x14ac:dyDescent="0.25">
      <c r="A10" s="263" t="str">
        <f>Datos!I69</f>
        <v>DETALLE</v>
      </c>
      <c r="B10" s="263"/>
      <c r="C10" s="263"/>
      <c r="D10" s="263"/>
      <c r="E10" s="263"/>
      <c r="F10" s="263"/>
      <c r="G10" s="263"/>
      <c r="H10" s="263"/>
    </row>
    <row r="11" spans="1:8" x14ac:dyDescent="0.25">
      <c r="A11" s="260" t="str">
        <f>IF(ISBLANK(Datos!I70),"",Datos!I70)</f>
        <v>Revisión mensual de las declaraciones de retención en la fuente.</v>
      </c>
      <c r="B11" s="260"/>
      <c r="C11" s="260"/>
      <c r="D11" s="260"/>
      <c r="E11" s="260"/>
      <c r="F11" s="260"/>
      <c r="G11" s="260"/>
      <c r="H11" s="260"/>
    </row>
    <row r="12" spans="1:8" x14ac:dyDescent="0.25">
      <c r="A12" s="260" t="str">
        <f>IF(ISBLANK(Datos!I71),"",Datos!I71)</f>
        <v>Verificar que los valores retenidos a los diferentes proveedores sean los contemplados en la norma contable.</v>
      </c>
      <c r="B12" s="260"/>
      <c r="C12" s="260"/>
      <c r="D12" s="260"/>
      <c r="E12" s="260"/>
      <c r="F12" s="260"/>
      <c r="G12" s="260"/>
      <c r="H12" s="260"/>
    </row>
    <row r="13" spans="1:8" x14ac:dyDescent="0.25">
      <c r="A13" s="260" t="str">
        <f>IF(ISBLANK(Datos!I72),"",Datos!I72)</f>
        <v>Revisión de los estados financieros y firma de dichos estados financieros.</v>
      </c>
      <c r="B13" s="260"/>
      <c r="C13" s="260"/>
      <c r="D13" s="260"/>
      <c r="E13" s="260"/>
      <c r="F13" s="260"/>
      <c r="G13" s="260"/>
      <c r="H13" s="260"/>
    </row>
    <row r="14" spans="1:8" x14ac:dyDescent="0.25">
      <c r="A14" s="260" t="str">
        <f>IF(ISBLANK(Datos!I73),"",Datos!I73)</f>
        <v>Revisión y análisis de las ejecuciones presupuestales mes a mes.</v>
      </c>
      <c r="B14" s="260"/>
      <c r="C14" s="260"/>
      <c r="D14" s="260"/>
      <c r="E14" s="260"/>
      <c r="F14" s="260"/>
      <c r="G14" s="260"/>
      <c r="H14" s="260"/>
    </row>
    <row r="15" spans="1:8" x14ac:dyDescent="0.25">
      <c r="A15" s="260" t="str">
        <f>IF(ISBLANK(Datos!I74),"",Datos!I74)</f>
        <v>Revisión de las conciliaciones bancarias mes a mes.</v>
      </c>
      <c r="B15" s="260"/>
      <c r="C15" s="260"/>
      <c r="D15" s="260"/>
      <c r="E15" s="260"/>
      <c r="F15" s="260"/>
      <c r="G15" s="260"/>
      <c r="H15" s="260"/>
    </row>
    <row r="16" spans="1:8" x14ac:dyDescent="0.25">
      <c r="A16" s="260" t="str">
        <f>IF(ISBLANK(Datos!I75),"",Datos!I75)</f>
        <v>Análisis de las disponibilidades presupuestales mensuales.</v>
      </c>
      <c r="B16" s="260"/>
      <c r="C16" s="260"/>
      <c r="D16" s="260"/>
      <c r="E16" s="260"/>
      <c r="F16" s="260"/>
      <c r="G16" s="260"/>
      <c r="H16" s="260"/>
    </row>
    <row r="17" spans="1:8" x14ac:dyDescent="0.25">
      <c r="A17" s="260" t="str">
        <f>IF(ISBLANK(Datos!I76),"",Datos!I76)</f>
        <v>Presentación de las ejecuciones presupuestales al Consejo Directivo.</v>
      </c>
      <c r="B17" s="260"/>
      <c r="C17" s="260"/>
      <c r="D17" s="260"/>
      <c r="E17" s="260"/>
      <c r="F17" s="260"/>
      <c r="G17" s="260"/>
      <c r="H17" s="260"/>
    </row>
    <row r="18" spans="1:8" x14ac:dyDescent="0.25">
      <c r="A18" s="260" t="str">
        <f>IF(ISBLANK(Datos!I77),"",Datos!I77)</f>
        <v>Rendición de las cuentas en audiencia pública antes del 28 de Febrero de 2019.</v>
      </c>
      <c r="B18" s="260"/>
      <c r="C18" s="260"/>
      <c r="D18" s="260"/>
      <c r="E18" s="260"/>
      <c r="F18" s="260"/>
      <c r="G18" s="260"/>
      <c r="H18" s="260"/>
    </row>
    <row r="19" spans="1:8" x14ac:dyDescent="0.25">
      <c r="A19" s="260" t="str">
        <f>IF(ISBLANK(Datos!I78),"",Datos!I78)</f>
        <v>Dar Fe Pública.</v>
      </c>
      <c r="B19" s="260"/>
      <c r="C19" s="260"/>
      <c r="D19" s="260"/>
      <c r="E19" s="260"/>
      <c r="F19" s="260"/>
      <c r="G19" s="260"/>
      <c r="H19" s="260"/>
    </row>
    <row r="20" spans="1:8" x14ac:dyDescent="0.25">
      <c r="A20" s="260" t="str">
        <f>IF(ISBLANK(Datos!I79),"",Datos!I79)</f>
        <v>Revisión de equilibrio presupuestal mes a mes.</v>
      </c>
      <c r="B20" s="260"/>
      <c r="C20" s="260"/>
      <c r="D20" s="260"/>
      <c r="E20" s="260"/>
      <c r="F20" s="260"/>
      <c r="G20" s="260"/>
      <c r="H20" s="260"/>
    </row>
    <row r="21" spans="1:8" x14ac:dyDescent="0.25">
      <c r="A21" s="260" t="str">
        <f>IF(ISBLANK(Datos!I80),"",Datos!I80)</f>
        <v>Asesoría personalizada al ordenador del gasto y al Consejo Directivo.</v>
      </c>
      <c r="B21" s="260"/>
      <c r="C21" s="260"/>
      <c r="D21" s="260"/>
      <c r="E21" s="260"/>
      <c r="F21" s="260"/>
      <c r="G21" s="260"/>
      <c r="H21" s="260"/>
    </row>
    <row r="22" spans="1:8" ht="78.75" customHeight="1" x14ac:dyDescent="0.25">
      <c r="A22" s="260" t="str">
        <f>IF(ISBLANK(Datos!I81),"",Datos!I81)</f>
        <v>Todas las actividades que implican organización, revisión y control de contabilidades, certificación y dictámenes, sobre los estados financieros, certificaciones que se expidan con fundamento en libros de contabilidad, revisoría fiscal, prestación de servicio de auditoría, así como todas las actividades conexas con la naturaleza de la función profesional de contador público, tales como la: la asesoría tributaria, la asesoría gerencial, en aspectos contables y similares.</v>
      </c>
      <c r="B22" s="260"/>
      <c r="C22" s="260"/>
      <c r="D22" s="260"/>
      <c r="E22" s="260"/>
      <c r="F22" s="260"/>
      <c r="G22" s="260"/>
      <c r="H22" s="260"/>
    </row>
    <row r="23" spans="1:8" x14ac:dyDescent="0.25">
      <c r="A23" s="260" t="str">
        <f>IF(ISBLANK(Datos!I82),"",Datos!I82)</f>
        <v>Capacitación a los Consejos Directivos cuando los rectores lo soliciten.</v>
      </c>
      <c r="B23" s="260"/>
      <c r="C23" s="260"/>
      <c r="D23" s="260"/>
      <c r="E23" s="260"/>
      <c r="F23" s="260"/>
      <c r="G23" s="260"/>
      <c r="H23" s="260"/>
    </row>
    <row r="24" spans="1:8" x14ac:dyDescent="0.25">
      <c r="A24" s="260" t="str">
        <f>IF(ISBLANK(Datos!I83),"",Datos!I83)</f>
        <v>Capacitación a los docentes sobre el manejo de los Fondos de Servicios Educativos.</v>
      </c>
      <c r="B24" s="260"/>
      <c r="C24" s="260"/>
      <c r="D24" s="260"/>
      <c r="E24" s="260"/>
      <c r="F24" s="260"/>
      <c r="G24" s="260"/>
      <c r="H24" s="260"/>
    </row>
    <row r="25" spans="1:8" x14ac:dyDescent="0.25">
      <c r="A25" s="260" t="str">
        <f>IF(ISBLANK(Datos!I84),"",Datos!I84)</f>
        <v>Certificaciones que se expidan con fundamentos en los libros de contabilidad.</v>
      </c>
      <c r="B25" s="260"/>
      <c r="C25" s="260"/>
      <c r="D25" s="260"/>
      <c r="E25" s="260"/>
      <c r="F25" s="260"/>
      <c r="G25" s="260"/>
      <c r="H25" s="260"/>
    </row>
    <row r="26" spans="1:8" x14ac:dyDescent="0.25">
      <c r="A26" s="260" t="str">
        <f>IF(ISBLANK(Datos!I85),"",Datos!I85)</f>
        <v>Auditoria</v>
      </c>
      <c r="B26" s="260"/>
      <c r="C26" s="260"/>
      <c r="D26" s="260"/>
      <c r="E26" s="260"/>
      <c r="F26" s="260"/>
      <c r="G26" s="260"/>
      <c r="H26" s="260"/>
    </row>
    <row r="27" spans="1:8" x14ac:dyDescent="0.25">
      <c r="A27" s="260" t="str">
        <f>IF(ISBLANK(Datos!I86),"",Datos!I86)</f>
        <v>Manual de procedimiento de tesorería</v>
      </c>
      <c r="B27" s="260"/>
      <c r="C27" s="260"/>
      <c r="D27" s="260"/>
      <c r="E27" s="260"/>
      <c r="F27" s="260"/>
      <c r="G27" s="260"/>
      <c r="H27" s="260"/>
    </row>
    <row r="28" spans="1:8" ht="35.25" customHeight="1" x14ac:dyDescent="0.25">
      <c r="A28" s="260" t="str">
        <f>IF(ISBLANK(Datos!I87),"",Datos!I87)</f>
        <v>Preparar la información necesaria para el cumplimiento de las obligaciones tributarias del establecimiento educativo.</v>
      </c>
      <c r="B28" s="260"/>
      <c r="C28" s="260"/>
      <c r="D28" s="260"/>
      <c r="E28" s="260"/>
      <c r="F28" s="260"/>
      <c r="G28" s="260"/>
      <c r="H28" s="260"/>
    </row>
    <row r="29" spans="1:8" ht="35.25" customHeight="1" x14ac:dyDescent="0.25">
      <c r="A29" s="260" t="str">
        <f>IF(ISBLANK(Datos!I88),"",Datos!I88)</f>
        <v>Diseñar y emitir los papeles de trabajo que soporten las labores realizadas para emitir su juicio profesional de conformidad con el artículo 9 de la Ley 43 de 1990.</v>
      </c>
      <c r="B29" s="260"/>
      <c r="C29" s="260"/>
      <c r="D29" s="260"/>
      <c r="E29" s="260"/>
      <c r="F29" s="260"/>
      <c r="G29" s="260"/>
      <c r="H29" s="260"/>
    </row>
    <row r="30" spans="1:8" x14ac:dyDescent="0.25">
      <c r="A30" s="260" t="str">
        <f>IF(ISBLANK(Datos!I89),"",Datos!I89)</f>
        <v xml:space="preserve">Se realizaran 2 auditorías en al año sobre el manejo de los fondos </v>
      </c>
      <c r="B30" s="260"/>
      <c r="C30" s="260"/>
      <c r="D30" s="260"/>
      <c r="E30" s="260"/>
      <c r="F30" s="260"/>
      <c r="G30" s="260"/>
      <c r="H30" s="260"/>
    </row>
    <row r="31" spans="1:8" x14ac:dyDescent="0.25">
      <c r="A31" s="260" t="str">
        <f>IF(ISBLANK(Datos!I90),"",Datos!I90)</f>
        <v>Atender los requerimientos que en materia contable soliciten los entes de control.</v>
      </c>
      <c r="B31" s="260"/>
      <c r="C31" s="260"/>
      <c r="D31" s="260"/>
      <c r="E31" s="260"/>
      <c r="F31" s="260"/>
      <c r="G31" s="260"/>
      <c r="H31" s="260"/>
    </row>
    <row r="32" spans="1:8" ht="35.25" customHeight="1" x14ac:dyDescent="0.25">
      <c r="A32" s="260" t="str">
        <f>IF(ISBLANK(Datos!I91),"",Datos!I91)</f>
        <v>Las demás actividades específicas que se desprendan de las actividades generales, necesarias para el cumplimiento de las normas contables establecidas para los entes públicos.</v>
      </c>
      <c r="B32" s="260"/>
      <c r="C32" s="260"/>
      <c r="D32" s="260"/>
      <c r="E32" s="260"/>
      <c r="F32" s="260"/>
      <c r="G32" s="260"/>
      <c r="H32" s="260"/>
    </row>
    <row r="33" spans="1:8" x14ac:dyDescent="0.25">
      <c r="A33" s="112"/>
      <c r="B33" s="112"/>
      <c r="C33" s="113"/>
      <c r="D33" s="113"/>
      <c r="E33" s="113"/>
      <c r="F33" s="113"/>
      <c r="G33" s="113"/>
      <c r="H33" s="113"/>
    </row>
    <row r="34" spans="1:8" ht="46.5" customHeight="1" x14ac:dyDescent="0.25">
      <c r="A34" s="267" t="str">
        <f>+"PRESUPUESTO ASIGNADO: Conforme a la cotización previamente realizada, se asigna un presupuesto de "&amp;Datos!C22&amp;" ($"&amp;Datos!C20&amp;") mediante el Certificado de Disponibilidad Presupuestal "&amp;Datos!C25&amp;", de "&amp;Datos!C26&amp;"."</f>
        <v>PRESUPUESTO ASIGNADO: Conforme a la cotización previamente realizada, se asigna un presupuesto de Ocho millones doscientos ochenta mil pesos M/L ($8280000) mediante el Certificado de Disponibilidad Presupuestal 7, de 30 de marzo de 2020.</v>
      </c>
      <c r="B34" s="267"/>
      <c r="C34" s="267"/>
      <c r="D34" s="267"/>
      <c r="E34" s="267"/>
      <c r="F34" s="267"/>
      <c r="G34" s="267"/>
      <c r="H34" s="267"/>
    </row>
    <row r="36" spans="1:8" x14ac:dyDescent="0.25">
      <c r="A36" s="261" t="s">
        <v>281</v>
      </c>
      <c r="B36" s="261"/>
      <c r="C36" s="261"/>
      <c r="D36" s="261"/>
      <c r="E36" s="261"/>
      <c r="F36" s="261"/>
      <c r="G36" s="261"/>
      <c r="H36" s="261"/>
    </row>
    <row r="37" spans="1:8" x14ac:dyDescent="0.25">
      <c r="A37" s="126"/>
      <c r="B37" s="126"/>
      <c r="C37" s="126"/>
      <c r="D37" s="126"/>
      <c r="E37" s="126"/>
      <c r="F37" s="126"/>
      <c r="G37" s="126"/>
      <c r="H37" s="126"/>
    </row>
    <row r="38" spans="1:8" ht="30.75" customHeight="1" x14ac:dyDescent="0.25">
      <c r="A38" s="261" t="s">
        <v>236</v>
      </c>
      <c r="B38" s="261"/>
      <c r="C38" s="261"/>
      <c r="D38" s="261"/>
      <c r="E38" s="261"/>
      <c r="F38" s="261"/>
      <c r="G38" s="261"/>
      <c r="H38" s="261"/>
    </row>
    <row r="40" spans="1:8" ht="227.25" customHeight="1" x14ac:dyDescent="0.25">
      <c r="A40" s="268" t="s">
        <v>286</v>
      </c>
      <c r="B40" s="261"/>
      <c r="C40" s="261"/>
      <c r="D40" s="261"/>
      <c r="E40" s="261"/>
      <c r="F40" s="261"/>
      <c r="G40" s="261"/>
      <c r="H40" s="261"/>
    </row>
    <row r="42" spans="1:8" x14ac:dyDescent="0.25">
      <c r="A42" s="120"/>
      <c r="B42" s="119"/>
      <c r="C42" s="119"/>
      <c r="D42" s="119"/>
      <c r="E42" s="119"/>
      <c r="F42" s="119"/>
      <c r="G42" s="119"/>
      <c r="H42" s="119"/>
    </row>
    <row r="43" spans="1:8" x14ac:dyDescent="0.25">
      <c r="A43" s="120"/>
      <c r="B43" s="119"/>
      <c r="C43" s="119"/>
      <c r="D43" s="119"/>
      <c r="E43" s="119"/>
      <c r="F43" s="119"/>
      <c r="G43" s="119"/>
      <c r="H43" s="119"/>
    </row>
    <row r="44" spans="1:8" x14ac:dyDescent="0.25">
      <c r="A44" s="120"/>
      <c r="B44" s="119"/>
      <c r="C44" s="119"/>
      <c r="D44" s="119"/>
      <c r="E44" s="119"/>
      <c r="F44" s="119"/>
      <c r="G44" s="119"/>
      <c r="H44" s="119"/>
    </row>
    <row r="46" spans="1:8" ht="30.75" customHeight="1" x14ac:dyDescent="0.25">
      <c r="B46" s="3"/>
      <c r="C46" s="3"/>
      <c r="D46" s="266" t="str">
        <f>+Datos!B51</f>
        <v>CARLOS MARIO GIRALDO JIMENEZ
Rector</v>
      </c>
      <c r="E46" s="266"/>
      <c r="F46" s="266"/>
      <c r="G46" s="3"/>
      <c r="H46" s="3"/>
    </row>
  </sheetData>
  <mergeCells count="33">
    <mergeCell ref="A1:H1"/>
    <mergeCell ref="A6:H6"/>
    <mergeCell ref="A8:H8"/>
    <mergeCell ref="D46:F46"/>
    <mergeCell ref="A15:H15"/>
    <mergeCell ref="A16:H16"/>
    <mergeCell ref="A17:H17"/>
    <mergeCell ref="A18:H18"/>
    <mergeCell ref="A19:H19"/>
    <mergeCell ref="A20:H20"/>
    <mergeCell ref="A21:H21"/>
    <mergeCell ref="A22:H22"/>
    <mergeCell ref="A23:H23"/>
    <mergeCell ref="A38:H38"/>
    <mergeCell ref="A34:H34"/>
    <mergeCell ref="A40:H40"/>
    <mergeCell ref="A2:H2"/>
    <mergeCell ref="A4:H4"/>
    <mergeCell ref="A10:H10"/>
    <mergeCell ref="A11:H11"/>
    <mergeCell ref="A12:H12"/>
    <mergeCell ref="A13:H13"/>
    <mergeCell ref="A14:H14"/>
    <mergeCell ref="A29:H29"/>
    <mergeCell ref="A30:H30"/>
    <mergeCell ref="A31:H31"/>
    <mergeCell ref="A32:H32"/>
    <mergeCell ref="A36:H36"/>
    <mergeCell ref="A24:H24"/>
    <mergeCell ref="A25:H25"/>
    <mergeCell ref="A26:H26"/>
    <mergeCell ref="A27:H27"/>
    <mergeCell ref="A28:H28"/>
  </mergeCells>
  <printOptions horizontalCentered="1"/>
  <pageMargins left="0.70866141732283472" right="0.70866141732283472" top="1.6875" bottom="1.078125" header="0.31496062992125984" footer="0.17812500000000001"/>
  <pageSetup scale="95" fitToHeight="0" orientation="portrait" r:id="rId1"/>
  <headerFooter>
    <oddHeader>&amp;C&amp;G</oddHeader>
    <oddFooter>&amp;C&amp;G
Página &amp;P de &amp;N&amp;REstudios Previos</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view="pageLayout" topLeftCell="A16" zoomScaleNormal="85" workbookViewId="0">
      <selection activeCell="E26" sqref="D26:F28"/>
    </sheetView>
  </sheetViews>
  <sheetFormatPr baseColWidth="10" defaultRowHeight="15" x14ac:dyDescent="0.25"/>
  <cols>
    <col min="8" max="8" width="18.42578125" customWidth="1"/>
  </cols>
  <sheetData>
    <row r="1" spans="1:10" ht="15" customHeight="1" x14ac:dyDescent="0.25">
      <c r="A1" s="269" t="str">
        <f>+""&amp;Datos!B27&amp;" "&amp;Datos!C27&amp;""</f>
        <v>RESOLUCIÓN DE  ADJUDICACIÓN No. RAC.   004-2020</v>
      </c>
      <c r="B1" s="269"/>
      <c r="C1" s="269"/>
      <c r="D1" s="269"/>
      <c r="E1" s="269"/>
      <c r="F1" s="269"/>
      <c r="G1" s="269"/>
      <c r="H1" s="269"/>
      <c r="I1" s="5"/>
      <c r="J1" s="5"/>
    </row>
    <row r="2" spans="1:10" x14ac:dyDescent="0.25">
      <c r="A2" s="274" t="str">
        <f>+"("&amp;Datos!J63&amp;")"</f>
        <v>(30 de marzo de 2020)</v>
      </c>
      <c r="B2" s="274"/>
      <c r="C2" s="274"/>
      <c r="D2" s="274"/>
      <c r="E2" s="274"/>
      <c r="F2" s="274"/>
      <c r="G2" s="274"/>
      <c r="H2" s="274"/>
    </row>
    <row r="3" spans="1:10" x14ac:dyDescent="0.25">
      <c r="A3" s="10"/>
      <c r="B3" s="10"/>
      <c r="C3" s="10"/>
      <c r="D3" s="10"/>
      <c r="E3" s="10"/>
      <c r="F3" s="10"/>
      <c r="G3" s="10"/>
      <c r="H3" s="10"/>
    </row>
    <row r="4" spans="1:10" ht="34.5" customHeight="1" x14ac:dyDescent="0.25">
      <c r="A4" s="270" t="str">
        <f>+"Por medio de la cual se ADJUDICA: "&amp;Datos!C8&amp;"."</f>
        <v>Por medio de la cual se ADJUDICA: ASESORÍA CONTABLE DE FONDOS DE SERVICIOS EDUCATIVOS .</v>
      </c>
      <c r="B4" s="270"/>
      <c r="C4" s="270"/>
      <c r="D4" s="270"/>
      <c r="E4" s="270"/>
      <c r="F4" s="270"/>
      <c r="G4" s="270"/>
      <c r="H4" s="270"/>
    </row>
    <row r="5" spans="1:10" x14ac:dyDescent="0.25">
      <c r="A5" s="111"/>
      <c r="B5" s="111"/>
      <c r="C5" s="111"/>
      <c r="D5" s="111"/>
      <c r="E5" s="111"/>
      <c r="F5" s="111"/>
      <c r="G5" s="111"/>
      <c r="H5" s="111"/>
    </row>
    <row r="6" spans="1:10" ht="52.5" customHeight="1" x14ac:dyDescent="0.25">
      <c r="A6" s="261" t="str">
        <f>+"La Rectoría de la "&amp;Datos!B49&amp;" del Municipio de "&amp;Datos!B50&amp;" en uso de sus facultades legales, en particular las conferidas por la Ley 115 de 1994, Artículo 10 de la Ley 715 de 2002; el Decreto 1075 de 2015; el Decreto 4807 de 2011, y conforme a lo establecido en la Ley 1150 de 2007 y el Decreto 1082 de 2015,"</f>
        <v>La Rectoría de la INSTITUCIÓN EDUCATIVA JOAQUIN VALLEJO ARBELAEZ del Municipio de MEDELLÍN en uso de sus facultades legales, en particular las conferidas por la Ley 115 de 1994, Artículo 10 de la Ley 715 de 2002; el Decreto 1075 de 2015; el Decreto 4807 de 2011, y conforme a lo establecido en la Ley 1150 de 2007 y el Decreto 1082 de 2015,</v>
      </c>
      <c r="B6" s="261"/>
      <c r="C6" s="261"/>
      <c r="D6" s="261"/>
      <c r="E6" s="261"/>
      <c r="F6" s="261"/>
      <c r="G6" s="261"/>
      <c r="H6" s="261"/>
    </row>
    <row r="7" spans="1:10" x14ac:dyDescent="0.25">
      <c r="A7" s="18"/>
      <c r="B7" s="18"/>
      <c r="C7" s="18"/>
      <c r="D7" s="18"/>
      <c r="E7" s="18"/>
      <c r="F7" s="18"/>
      <c r="G7" s="18"/>
      <c r="H7" s="18"/>
    </row>
    <row r="8" spans="1:10" x14ac:dyDescent="0.25">
      <c r="A8" s="270" t="s">
        <v>101</v>
      </c>
      <c r="B8" s="270"/>
      <c r="C8" s="270"/>
      <c r="D8" s="270"/>
      <c r="E8" s="270"/>
      <c r="F8" s="270"/>
      <c r="G8" s="270"/>
      <c r="H8" s="270"/>
    </row>
    <row r="9" spans="1:10" ht="15" customHeight="1" x14ac:dyDescent="0.25">
      <c r="A9" s="11"/>
      <c r="B9" s="11"/>
      <c r="C9" s="11"/>
      <c r="D9" s="11"/>
      <c r="E9" s="11"/>
      <c r="F9" s="11"/>
      <c r="G9" s="11"/>
      <c r="H9" s="11"/>
    </row>
    <row r="10" spans="1:10" ht="66.75" customHeight="1" x14ac:dyDescent="0.25">
      <c r="A10" s="261" t="s">
        <v>178</v>
      </c>
      <c r="B10" s="272"/>
      <c r="C10" s="272"/>
      <c r="D10" s="272"/>
      <c r="E10" s="272"/>
      <c r="F10" s="272"/>
      <c r="G10" s="272"/>
      <c r="H10" s="272"/>
    </row>
    <row r="11" spans="1:10" x14ac:dyDescent="0.25">
      <c r="A11" s="18"/>
      <c r="B11" s="19"/>
      <c r="C11" s="19"/>
      <c r="D11" s="19"/>
      <c r="E11" s="19"/>
      <c r="F11" s="19"/>
      <c r="G11" s="19"/>
      <c r="H11" s="19"/>
    </row>
    <row r="12" spans="1:10" ht="40.5" customHeight="1" x14ac:dyDescent="0.25">
      <c r="A12" s="261" t="str">
        <f>+"2. Que en concordancia con el Decreto 1075 de 2015 se establece el procedimiento para la adquisición de bienes y/o servicios y la celebración de contratos."</f>
        <v>2. Que en concordancia con el Decreto 1075 de 2015 se establece el procedimiento para la adquisición de bienes y/o servicios y la celebración de contratos.</v>
      </c>
      <c r="B12" s="261"/>
      <c r="C12" s="261"/>
      <c r="D12" s="261"/>
      <c r="E12" s="261"/>
      <c r="F12" s="261"/>
      <c r="G12" s="261"/>
      <c r="H12" s="261"/>
    </row>
    <row r="13" spans="1:10" x14ac:dyDescent="0.25">
      <c r="A13" s="18"/>
      <c r="B13" s="18"/>
      <c r="C13" s="18"/>
      <c r="D13" s="18"/>
      <c r="E13" s="18"/>
      <c r="F13" s="18"/>
      <c r="G13" s="18"/>
      <c r="H13" s="18"/>
    </row>
    <row r="14" spans="1:10" ht="47.1" customHeight="1" x14ac:dyDescent="0.25">
      <c r="A14" s="272" t="str">
        <f>+"3. Que conforme a lo previsto en el  Decreto 1082 de 2015 y el Decreto 1075 de 2015, el proponente "&amp;Datos!C6&amp;" cumple con los requisitos establecidos en los estudios previos."</f>
        <v>3. Que conforme a lo previsto en el  Decreto 1082 de 2015 y el Decreto 1075 de 2015, el proponente NELSON LEON MEJIA BILBAO cumple con los requisitos establecidos en los estudios previos.</v>
      </c>
      <c r="B14" s="272"/>
      <c r="C14" s="272"/>
      <c r="D14" s="272"/>
      <c r="E14" s="272"/>
      <c r="F14" s="272"/>
      <c r="G14" s="272"/>
      <c r="H14" s="272"/>
    </row>
    <row r="15" spans="1:10" x14ac:dyDescent="0.25">
      <c r="A15" s="19"/>
      <c r="B15" s="19"/>
      <c r="C15" s="19"/>
      <c r="D15" s="19"/>
      <c r="E15" s="19"/>
      <c r="F15" s="19"/>
      <c r="G15" s="19"/>
      <c r="H15" s="19"/>
    </row>
    <row r="16" spans="1:10" x14ac:dyDescent="0.25">
      <c r="A16" s="153"/>
      <c r="B16" s="153"/>
      <c r="C16" s="153"/>
      <c r="D16" s="153"/>
      <c r="E16" s="153"/>
      <c r="F16" s="153"/>
      <c r="G16" s="153"/>
      <c r="H16" s="153"/>
    </row>
    <row r="17" spans="1:8" x14ac:dyDescent="0.25">
      <c r="A17" s="270" t="s">
        <v>102</v>
      </c>
      <c r="B17" s="270"/>
      <c r="C17" s="270"/>
      <c r="D17" s="270"/>
      <c r="E17" s="270"/>
      <c r="F17" s="270"/>
      <c r="G17" s="270"/>
      <c r="H17" s="270"/>
    </row>
    <row r="18" spans="1:8" x14ac:dyDescent="0.25">
      <c r="A18" s="152"/>
      <c r="B18" s="152"/>
      <c r="C18" s="152"/>
      <c r="D18" s="152"/>
      <c r="E18" s="152"/>
      <c r="F18" s="152"/>
      <c r="G18" s="152"/>
      <c r="H18" s="152"/>
    </row>
    <row r="19" spans="1:8" ht="79.5" customHeight="1" x14ac:dyDescent="0.25">
      <c r="A19" s="272" t="str">
        <f>+"ARTÍCULO PRIMERO: Adjudicar a "&amp;Datos!C6&amp;", identificado con NIT. "&amp;Datos!C7&amp;"; Por valor de $"&amp;Datos!I18&amp;"
ARTÍCULO SEGUNDO: Las obligaciones derivadas de la presente contratación, se cancelarán con cargo a los recursos de los Fondos de Servicios Educativos, respaldados con la Disponibilidad Presupuestal "&amp;Datos!C25&amp;" del "&amp;Datos!C26&amp;"."</f>
        <v>ARTÍCULO PRIMERO: Adjudicar a NELSON LEON MEJIA BILBAO, identificado con NIT. 71.669.550-1; Por valor de $8280000
ARTÍCULO SEGUNDO: Las obligaciones derivadas de la presente contratación, se cancelarán con cargo a los recursos de los Fondos de Servicios Educativos, respaldados con la Disponibilidad Presupuestal 7 del 30 de marzo de 2020.</v>
      </c>
      <c r="B19" s="272"/>
      <c r="C19" s="272"/>
      <c r="D19" s="272"/>
      <c r="E19" s="272"/>
      <c r="F19" s="272"/>
      <c r="G19" s="272"/>
      <c r="H19" s="272"/>
    </row>
    <row r="20" spans="1:8" ht="15" customHeight="1" x14ac:dyDescent="0.25">
      <c r="A20" s="2"/>
      <c r="B20" s="2"/>
      <c r="C20" s="2"/>
      <c r="D20" s="2"/>
      <c r="E20" s="2"/>
      <c r="F20" s="2"/>
      <c r="G20" s="2"/>
      <c r="H20" s="2"/>
    </row>
    <row r="21" spans="1:8" ht="15" customHeight="1" x14ac:dyDescent="0.25">
      <c r="A21" s="273" t="s">
        <v>127</v>
      </c>
      <c r="B21" s="273"/>
      <c r="C21" s="273"/>
      <c r="D21" s="273"/>
      <c r="E21" s="273"/>
      <c r="F21" s="273"/>
      <c r="G21" s="273"/>
      <c r="H21" s="273"/>
    </row>
    <row r="23" spans="1:8" x14ac:dyDescent="0.25">
      <c r="A23" s="271" t="str">
        <f>+"Dada en "&amp;Datos!B50&amp;", el "&amp;Datos!J63&amp;""</f>
        <v>Dada en MEDELLÍN, el 30 de marzo de 2020</v>
      </c>
      <c r="B23" s="271"/>
      <c r="C23" s="271"/>
      <c r="D23" s="271"/>
      <c r="E23" s="271"/>
      <c r="F23" s="271"/>
      <c r="G23" s="271"/>
      <c r="H23" s="271"/>
    </row>
    <row r="28" spans="1:8" ht="35.25" customHeight="1" x14ac:dyDescent="0.25">
      <c r="B28" s="3"/>
      <c r="C28" s="3"/>
      <c r="D28" s="266" t="str">
        <f>+'Est Prev'!D46:D46</f>
        <v>CARLOS MARIO GIRALDO JIMENEZ
Rector</v>
      </c>
      <c r="E28" s="266"/>
      <c r="F28" s="266"/>
      <c r="G28" s="3"/>
      <c r="H28" s="3"/>
    </row>
  </sheetData>
  <mergeCells count="13">
    <mergeCell ref="D28:F28"/>
    <mergeCell ref="A1:H1"/>
    <mergeCell ref="A17:H17"/>
    <mergeCell ref="A23:H23"/>
    <mergeCell ref="A10:H10"/>
    <mergeCell ref="A14:H14"/>
    <mergeCell ref="A19:H19"/>
    <mergeCell ref="A21:H21"/>
    <mergeCell ref="A8:H8"/>
    <mergeCell ref="A12:H12"/>
    <mergeCell ref="A2:H2"/>
    <mergeCell ref="A4:H4"/>
    <mergeCell ref="A6:H6"/>
  </mergeCells>
  <pageMargins left="0.83437499999999998" right="0.47244094488188981" top="1.66625" bottom="0.96875" header="0.31496062992125984" footer="0.20343749999999999"/>
  <pageSetup scale="93" orientation="portrait" r:id="rId1"/>
  <headerFooter>
    <oddHeader>&amp;C&amp;G</oddHeader>
    <oddFooter>&amp;C&amp;G
Página &amp;P de &amp;N&amp;RResolución de Adjudicación</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view="pageLayout" topLeftCell="A67" zoomScaleNormal="85" workbookViewId="0">
      <selection activeCell="C78" sqref="C78"/>
    </sheetView>
  </sheetViews>
  <sheetFormatPr baseColWidth="10" defaultRowHeight="15" x14ac:dyDescent="0.25"/>
  <cols>
    <col min="4" max="4" width="16.140625" customWidth="1"/>
    <col min="5" max="5" width="8.28515625" customWidth="1"/>
    <col min="8" max="8" width="15.42578125" customWidth="1"/>
  </cols>
  <sheetData>
    <row r="1" spans="1:8" ht="15.75" x14ac:dyDescent="0.25">
      <c r="A1" s="288" t="str">
        <f>+Datos!C8</f>
        <v xml:space="preserve">ASESORÍA CONTABLE DE FONDOS DE SERVICIOS EDUCATIVOS </v>
      </c>
      <c r="B1" s="288"/>
      <c r="C1" s="288"/>
      <c r="D1" s="288"/>
      <c r="E1" s="288"/>
      <c r="F1" s="288"/>
      <c r="G1" s="288"/>
      <c r="H1" s="288"/>
    </row>
    <row r="2" spans="1:8" x14ac:dyDescent="0.25">
      <c r="A2" s="289"/>
      <c r="B2" s="289"/>
      <c r="C2" s="289"/>
      <c r="D2" s="289"/>
      <c r="E2" s="289"/>
      <c r="F2" s="289"/>
      <c r="G2" s="289"/>
      <c r="H2" s="289"/>
    </row>
    <row r="3" spans="1:8" x14ac:dyDescent="0.25">
      <c r="A3" s="294" t="s">
        <v>135</v>
      </c>
      <c r="B3" s="294"/>
      <c r="C3" s="296" t="str">
        <f>+""&amp;Datos!B35&amp;" "&amp;Datos!C35&amp;""</f>
        <v>CONTRATO No. C.  004-2020</v>
      </c>
      <c r="D3" s="296"/>
      <c r="E3" s="296"/>
      <c r="F3" s="296"/>
      <c r="G3" s="296"/>
      <c r="H3" s="296"/>
    </row>
    <row r="4" spans="1:8" ht="14.45" customHeight="1" x14ac:dyDescent="0.25">
      <c r="A4" s="294" t="s">
        <v>149</v>
      </c>
      <c r="B4" s="294"/>
      <c r="C4" s="296" t="str">
        <f>+Datos!B49</f>
        <v>INSTITUCIÓN EDUCATIVA JOAQUIN VALLEJO ARBELAEZ</v>
      </c>
      <c r="D4" s="296"/>
      <c r="E4" s="296"/>
      <c r="F4" s="296"/>
      <c r="G4" s="296"/>
      <c r="H4" s="296"/>
    </row>
    <row r="5" spans="1:8" ht="14.45" customHeight="1" x14ac:dyDescent="0.25">
      <c r="A5" s="294" t="s">
        <v>150</v>
      </c>
      <c r="B5" s="294"/>
      <c r="C5" s="294" t="str">
        <f>IF(ISBLANK(Datos!C6),"",Datos!C6)</f>
        <v>NELSON LEON MEJIA BILBAO</v>
      </c>
      <c r="D5" s="294"/>
      <c r="E5" s="294"/>
      <c r="F5" s="294"/>
      <c r="G5" s="294"/>
      <c r="H5" s="294"/>
    </row>
    <row r="6" spans="1:8" x14ac:dyDescent="0.25">
      <c r="A6" s="294" t="s">
        <v>151</v>
      </c>
      <c r="B6" s="294"/>
      <c r="C6" s="290" t="str">
        <f>IF(ISBLANK(Datos!C8),"",Datos!C8)</f>
        <v xml:space="preserve">ASESORÍA CONTABLE DE FONDOS DE SERVICIOS EDUCATIVOS </v>
      </c>
      <c r="D6" s="291"/>
      <c r="E6" s="291"/>
      <c r="F6" s="291"/>
      <c r="G6" s="291"/>
      <c r="H6" s="292"/>
    </row>
    <row r="7" spans="1:8" ht="13.5" customHeight="1" x14ac:dyDescent="0.25">
      <c r="A7" s="297" t="s">
        <v>152</v>
      </c>
      <c r="B7" s="297"/>
      <c r="C7" s="293">
        <f>IF(ISBLANK(Datos!C9),"",Datos!C9)</f>
        <v>8280000</v>
      </c>
      <c r="D7" s="293"/>
      <c r="E7" s="293"/>
      <c r="F7" s="293"/>
      <c r="G7" s="293"/>
      <c r="H7" s="293"/>
    </row>
    <row r="8" spans="1:8" ht="14.45" customHeight="1" x14ac:dyDescent="0.25">
      <c r="A8" s="294" t="s">
        <v>153</v>
      </c>
      <c r="B8" s="294"/>
      <c r="C8" s="260" t="str">
        <f>IF(ISBLANK(Datos!C37),"",Datos!C37)</f>
        <v>30 de marzo de 2020</v>
      </c>
      <c r="D8" s="260"/>
      <c r="E8" s="260"/>
      <c r="F8" s="260"/>
      <c r="G8" s="260"/>
      <c r="H8" s="260"/>
    </row>
    <row r="9" spans="1:8" ht="14.45" customHeight="1" x14ac:dyDescent="0.25">
      <c r="A9" s="294" t="s">
        <v>154</v>
      </c>
      <c r="B9" s="294"/>
      <c r="C9" s="260" t="str">
        <f>IF(ISBLANK(Datos!C38),"",Datos!C38)</f>
        <v>31 de diciembre de 2020</v>
      </c>
      <c r="D9" s="260"/>
      <c r="E9" s="260"/>
      <c r="F9" s="260"/>
      <c r="G9" s="260"/>
      <c r="H9" s="260"/>
    </row>
    <row r="10" spans="1:8" ht="14.45" customHeight="1" x14ac:dyDescent="0.25">
      <c r="A10" s="294" t="s">
        <v>50</v>
      </c>
      <c r="B10" s="294"/>
      <c r="C10" s="260" t="str">
        <f>IF(ISBLANK(Datos!C39),"",Datos!C39)</f>
        <v>9 MESES</v>
      </c>
      <c r="D10" s="260"/>
      <c r="E10" s="260"/>
      <c r="F10" s="260"/>
      <c r="G10" s="260"/>
      <c r="H10" s="260"/>
    </row>
    <row r="11" spans="1:8" x14ac:dyDescent="0.25">
      <c r="A11" s="3"/>
      <c r="B11" s="3"/>
      <c r="C11" s="3"/>
      <c r="D11" s="3"/>
      <c r="E11" s="3"/>
      <c r="F11" s="3"/>
      <c r="G11" s="3"/>
      <c r="H11" s="3"/>
    </row>
    <row r="12" spans="1:8" ht="15.75" x14ac:dyDescent="0.25">
      <c r="A12" s="295" t="s">
        <v>133</v>
      </c>
      <c r="B12" s="295"/>
      <c r="C12" s="295"/>
      <c r="D12" s="295"/>
      <c r="E12" s="295"/>
      <c r="F12" s="295"/>
      <c r="G12" s="295"/>
      <c r="H12" s="295"/>
    </row>
    <row r="13" spans="1:8" ht="54.75" customHeight="1" x14ac:dyDescent="0.25">
      <c r="A13" s="285" t="str">
        <f>+""&amp;Datos!B52&amp;", con cédula de ciudadanía "&amp;Datos!B53&amp;" representando legalmente la "&amp;Datos!B49&amp;", obrando de conformidad con el Artículo 13 de la Ley 715 de 2001, el Decreto 1075 de 2015 y el Decreto 1082 de 2015, "&amp;Datos!B54&amp;" los cuales autorizan a la Rectoría para algunas funciones, entre ellas ordenar gastos, autorizar a la prestación de servicios y compras o la ejecución de obras y celebrar contratos."</f>
        <v>CARLOS MARIO GIRALDO JIMENEZ, con cédula de ciudadanía 71.661.819 representando legalmente la INSTITUCIÓN EDUCATIVA JOAQUIN VALLEJO ARBELAEZ, obrando de conformidad con el Artículo 13 de la Ley 715 de 2001, el Decreto 1075 de 2015 y el Decreto 1082 de 2015,  los cuales autorizan a la Rectoría para algunas funciones, entre ellas ordenar gastos, autorizar a la prestación de servicios y compras o la ejecución de obras y celebrar contratos.</v>
      </c>
      <c r="B13" s="285"/>
      <c r="C13" s="285"/>
      <c r="D13" s="285"/>
      <c r="E13" s="285"/>
      <c r="F13" s="285"/>
      <c r="G13" s="285"/>
      <c r="H13" s="285"/>
    </row>
    <row r="14" spans="1:8" x14ac:dyDescent="0.25">
      <c r="A14" s="20"/>
      <c r="B14" s="20"/>
      <c r="C14" s="20"/>
      <c r="D14" s="20"/>
      <c r="E14" s="20"/>
      <c r="F14" s="20"/>
      <c r="G14" s="20"/>
      <c r="H14" s="20"/>
    </row>
    <row r="15" spans="1:8" ht="30.75" customHeight="1" x14ac:dyDescent="0.25">
      <c r="A15" s="285" t="str">
        <f>+"Con base en los anteriores fundamentos legales y teniendo en cuenta la Resolución Rectoral  No. RAC. "&amp;Datos!C27&amp;" de "&amp;Datos!J63&amp;", mediante la cual se realiza la adjudicación objeto de este contrato.---------------------------------------------------------------------"</f>
        <v>Con base en los anteriores fundamentos legales y teniendo en cuenta la Resolución Rectoral  No. RAC. 004-2020 de 30 de marzo de 2020, mediante la cual se realiza la adjudicación objeto de este contrato.---------------------------------------------------------------------</v>
      </c>
      <c r="B15" s="285"/>
      <c r="C15" s="285"/>
      <c r="D15" s="285"/>
      <c r="E15" s="285"/>
      <c r="F15" s="285"/>
      <c r="G15" s="285"/>
      <c r="H15" s="285"/>
    </row>
    <row r="16" spans="1:8" x14ac:dyDescent="0.25">
      <c r="A16" s="20"/>
      <c r="B16" s="20"/>
      <c r="C16" s="20"/>
      <c r="D16" s="20"/>
      <c r="E16" s="20"/>
      <c r="F16" s="20"/>
      <c r="G16" s="20"/>
      <c r="H16" s="20"/>
    </row>
    <row r="17" spans="1:8" ht="36" customHeight="1" x14ac:dyDescent="0.25">
      <c r="A17" s="285" t="str">
        <f>"Y "&amp;Datos!C6&amp;", identificado con CC. "&amp;Datos!C7&amp;",  acordamos celebrar EL PRESENTE CONTRATO: "&amp;Datos!C8&amp;",  el cual se regirá por las siguientes cláusulas:--------------------------------------------------------"</f>
        <v>Y NELSON LEON MEJIA BILBAO, identificado con CC. 71.669.550-1,  acordamos celebrar EL PRESENTE CONTRATO: ASESORÍA CONTABLE DE FONDOS DE SERVICIOS EDUCATIVOS ,  el cual se regirá por las siguientes cláusulas:--------------------------------------------------------</v>
      </c>
      <c r="B17" s="285"/>
      <c r="C17" s="285"/>
      <c r="D17" s="285"/>
      <c r="E17" s="285"/>
      <c r="F17" s="285"/>
      <c r="G17" s="285"/>
      <c r="H17" s="285"/>
    </row>
    <row r="18" spans="1:8" x14ac:dyDescent="0.25">
      <c r="A18" s="20"/>
      <c r="B18" s="20"/>
      <c r="C18" s="20"/>
      <c r="D18" s="20"/>
      <c r="E18" s="20"/>
      <c r="F18" s="20"/>
      <c r="G18" s="20"/>
      <c r="H18" s="20"/>
    </row>
    <row r="19" spans="1:8" ht="29.25" customHeight="1" x14ac:dyDescent="0.25">
      <c r="A19" s="285" t="str">
        <f>+"PRIMERA. OBLIGACIONES DEL CONTRATISTA: El CONTRATISTA se obliga con la "&amp;Datos!B49&amp;" a lo siguiente:-------------------------------------------------------------"</f>
        <v>PRIMERA. OBLIGACIONES DEL CONTRATISTA: El CONTRATISTA se obliga con la INSTITUCIÓN EDUCATIVA JOAQUIN VALLEJO ARBELAEZ a lo siguiente:-------------------------------------------------------------</v>
      </c>
      <c r="B19" s="285"/>
      <c r="C19" s="285"/>
      <c r="D19" s="285"/>
      <c r="E19" s="285"/>
      <c r="F19" s="285"/>
      <c r="G19" s="285"/>
      <c r="H19" s="285"/>
    </row>
    <row r="20" spans="1:8" ht="33" customHeight="1" x14ac:dyDescent="0.25">
      <c r="A20" s="285" t="s">
        <v>282</v>
      </c>
      <c r="B20" s="285"/>
      <c r="C20" s="285"/>
      <c r="D20" s="285"/>
      <c r="E20" s="285"/>
      <c r="F20" s="285"/>
      <c r="G20" s="285"/>
      <c r="H20" s="285"/>
    </row>
    <row r="21" spans="1:8" x14ac:dyDescent="0.25">
      <c r="A21" s="12"/>
      <c r="B21" s="12"/>
      <c r="C21" s="12"/>
      <c r="D21" s="12"/>
      <c r="E21" s="12"/>
      <c r="F21" s="12"/>
      <c r="G21" s="12"/>
      <c r="H21" s="12"/>
    </row>
    <row r="22" spans="1:8" ht="15.6" customHeight="1" x14ac:dyDescent="0.25">
      <c r="A22" s="263" t="str">
        <f>Datos!I69</f>
        <v>DETALLE</v>
      </c>
      <c r="B22" s="263"/>
      <c r="C22" s="263"/>
      <c r="D22" s="263"/>
      <c r="E22" s="263"/>
      <c r="F22" s="263"/>
      <c r="G22" s="263"/>
      <c r="H22" s="263"/>
    </row>
    <row r="23" spans="1:8" x14ac:dyDescent="0.25">
      <c r="A23" s="260" t="str">
        <f>IF(ISBLANK(Datos!I70),"",Datos!I70)</f>
        <v>Revisión mensual de las declaraciones de retención en la fuente.</v>
      </c>
      <c r="B23" s="260"/>
      <c r="C23" s="260"/>
      <c r="D23" s="260"/>
      <c r="E23" s="260"/>
      <c r="F23" s="260"/>
      <c r="G23" s="260"/>
      <c r="H23" s="260"/>
    </row>
    <row r="24" spans="1:8" x14ac:dyDescent="0.25">
      <c r="A24" s="260" t="str">
        <f>IF(ISBLANK(Datos!I71),"",Datos!I71)</f>
        <v>Verificar que los valores retenidos a los diferentes proveedores sean los contemplados en la norma contable.</v>
      </c>
      <c r="B24" s="260"/>
      <c r="C24" s="260"/>
      <c r="D24" s="260"/>
      <c r="E24" s="260"/>
      <c r="F24" s="260"/>
      <c r="G24" s="260"/>
      <c r="H24" s="260"/>
    </row>
    <row r="25" spans="1:8" x14ac:dyDescent="0.25">
      <c r="A25" s="260" t="str">
        <f>IF(ISBLANK(Datos!I72),"",Datos!I72)</f>
        <v>Revisión de los estados financieros y firma de dichos estados financieros.</v>
      </c>
      <c r="B25" s="260"/>
      <c r="C25" s="260"/>
      <c r="D25" s="260"/>
      <c r="E25" s="260"/>
      <c r="F25" s="260"/>
      <c r="G25" s="260"/>
      <c r="H25" s="260"/>
    </row>
    <row r="26" spans="1:8" x14ac:dyDescent="0.25">
      <c r="A26" s="260" t="str">
        <f>IF(ISBLANK(Datos!I73),"",Datos!I73)</f>
        <v>Revisión y análisis de las ejecuciones presupuestales mes a mes.</v>
      </c>
      <c r="B26" s="260"/>
      <c r="C26" s="260"/>
      <c r="D26" s="260"/>
      <c r="E26" s="260"/>
      <c r="F26" s="260"/>
      <c r="G26" s="260"/>
      <c r="H26" s="260"/>
    </row>
    <row r="27" spans="1:8" x14ac:dyDescent="0.25">
      <c r="A27" s="260" t="str">
        <f>IF(ISBLANK(Datos!I74),"",Datos!I74)</f>
        <v>Revisión de las conciliaciones bancarias mes a mes.</v>
      </c>
      <c r="B27" s="260"/>
      <c r="C27" s="260"/>
      <c r="D27" s="260"/>
      <c r="E27" s="260"/>
      <c r="F27" s="260"/>
      <c r="G27" s="260"/>
      <c r="H27" s="260"/>
    </row>
    <row r="28" spans="1:8" x14ac:dyDescent="0.25">
      <c r="A28" s="260" t="str">
        <f>IF(ISBLANK(Datos!I75),"",Datos!I75)</f>
        <v>Análisis de las disponibilidades presupuestales mensuales.</v>
      </c>
      <c r="B28" s="260"/>
      <c r="C28" s="260"/>
      <c r="D28" s="260"/>
      <c r="E28" s="260"/>
      <c r="F28" s="260"/>
      <c r="G28" s="260"/>
      <c r="H28" s="260"/>
    </row>
    <row r="29" spans="1:8" x14ac:dyDescent="0.25">
      <c r="A29" s="260" t="str">
        <f>IF(ISBLANK(Datos!I76),"",Datos!I76)</f>
        <v>Presentación de las ejecuciones presupuestales al Consejo Directivo.</v>
      </c>
      <c r="B29" s="260"/>
      <c r="C29" s="260"/>
      <c r="D29" s="260"/>
      <c r="E29" s="260"/>
      <c r="F29" s="260"/>
      <c r="G29" s="260"/>
      <c r="H29" s="260"/>
    </row>
    <row r="30" spans="1:8" x14ac:dyDescent="0.25">
      <c r="A30" s="260" t="str">
        <f>IF(ISBLANK(Datos!I77),"",Datos!I77)</f>
        <v>Rendición de las cuentas en audiencia pública antes del 28 de Febrero de 2019.</v>
      </c>
      <c r="B30" s="260"/>
      <c r="C30" s="260"/>
      <c r="D30" s="260"/>
      <c r="E30" s="260"/>
      <c r="F30" s="260"/>
      <c r="G30" s="260"/>
      <c r="H30" s="260"/>
    </row>
    <row r="31" spans="1:8" x14ac:dyDescent="0.25">
      <c r="A31" s="260" t="str">
        <f>IF(ISBLANK(Datos!I78),"",Datos!I78)</f>
        <v>Dar Fe Pública.</v>
      </c>
      <c r="B31" s="260"/>
      <c r="C31" s="260"/>
      <c r="D31" s="260"/>
      <c r="E31" s="260"/>
      <c r="F31" s="260"/>
      <c r="G31" s="260"/>
      <c r="H31" s="260"/>
    </row>
    <row r="32" spans="1:8" x14ac:dyDescent="0.25">
      <c r="A32" s="260" t="str">
        <f>IF(ISBLANK(Datos!I79),"",Datos!I79)</f>
        <v>Revisión de equilibrio presupuestal mes a mes.</v>
      </c>
      <c r="B32" s="260"/>
      <c r="C32" s="260"/>
      <c r="D32" s="260"/>
      <c r="E32" s="260"/>
      <c r="F32" s="260"/>
      <c r="G32" s="260"/>
      <c r="H32" s="260"/>
    </row>
    <row r="33" spans="1:8" x14ac:dyDescent="0.25">
      <c r="A33" s="260" t="str">
        <f>IF(ISBLANK(Datos!I80),"",Datos!I80)</f>
        <v>Asesoría personalizada al ordenador del gasto y al Consejo Directivo.</v>
      </c>
      <c r="B33" s="260"/>
      <c r="C33" s="260"/>
      <c r="D33" s="260"/>
      <c r="E33" s="260"/>
      <c r="F33" s="260"/>
      <c r="G33" s="260"/>
      <c r="H33" s="260"/>
    </row>
    <row r="34" spans="1:8" ht="78" customHeight="1" x14ac:dyDescent="0.25">
      <c r="A34" s="260" t="str">
        <f>IF(ISBLANK(Datos!I81),"",Datos!I81)</f>
        <v>Todas las actividades que implican organización, revisión y control de contabilidades, certificación y dictámenes, sobre los estados financieros, certificaciones que se expidan con fundamento en libros de contabilidad, revisoría fiscal, prestación de servicio de auditoría, así como todas las actividades conexas con la naturaleza de la función profesional de contador público, tales como la: la asesoría tributaria, la asesoría gerencial, en aspectos contables y similares.</v>
      </c>
      <c r="B34" s="260"/>
      <c r="C34" s="260"/>
      <c r="D34" s="260"/>
      <c r="E34" s="260"/>
      <c r="F34" s="260"/>
      <c r="G34" s="260"/>
      <c r="H34" s="260"/>
    </row>
    <row r="35" spans="1:8" x14ac:dyDescent="0.25">
      <c r="A35" s="260" t="str">
        <f>IF(ISBLANK(Datos!I82),"",Datos!I82)</f>
        <v>Capacitación a los Consejos Directivos cuando los rectores lo soliciten.</v>
      </c>
      <c r="B35" s="260"/>
      <c r="C35" s="260"/>
      <c r="D35" s="260"/>
      <c r="E35" s="260"/>
      <c r="F35" s="260"/>
      <c r="G35" s="260"/>
      <c r="H35" s="260"/>
    </row>
    <row r="36" spans="1:8" x14ac:dyDescent="0.25">
      <c r="A36" s="260" t="str">
        <f>IF(ISBLANK(Datos!I83),"",Datos!I83)</f>
        <v>Capacitación a los docentes sobre el manejo de los Fondos de Servicios Educativos.</v>
      </c>
      <c r="B36" s="260"/>
      <c r="C36" s="260"/>
      <c r="D36" s="260"/>
      <c r="E36" s="260"/>
      <c r="F36" s="260"/>
      <c r="G36" s="260"/>
      <c r="H36" s="260"/>
    </row>
    <row r="37" spans="1:8" x14ac:dyDescent="0.25">
      <c r="A37" s="260" t="str">
        <f>IF(ISBLANK(Datos!I84),"",Datos!I84)</f>
        <v>Certificaciones que se expidan con fundamentos en los libros de contabilidad.</v>
      </c>
      <c r="B37" s="260"/>
      <c r="C37" s="260"/>
      <c r="D37" s="260"/>
      <c r="E37" s="260"/>
      <c r="F37" s="260"/>
      <c r="G37" s="260"/>
      <c r="H37" s="260"/>
    </row>
    <row r="38" spans="1:8" x14ac:dyDescent="0.25">
      <c r="A38" s="260" t="str">
        <f>IF(ISBLANK(Datos!I85),"",Datos!I85)</f>
        <v>Auditoria</v>
      </c>
      <c r="B38" s="260"/>
      <c r="C38" s="260"/>
      <c r="D38" s="260"/>
      <c r="E38" s="260"/>
      <c r="F38" s="260"/>
      <c r="G38" s="260"/>
      <c r="H38" s="260"/>
    </row>
    <row r="39" spans="1:8" x14ac:dyDescent="0.25">
      <c r="A39" s="260" t="str">
        <f>IF(ISBLANK(Datos!I86),"",Datos!I86)</f>
        <v>Manual de procedimiento de tesorería</v>
      </c>
      <c r="B39" s="260"/>
      <c r="C39" s="260"/>
      <c r="D39" s="260"/>
      <c r="E39" s="260"/>
      <c r="F39" s="260"/>
      <c r="G39" s="260"/>
      <c r="H39" s="260"/>
    </row>
    <row r="40" spans="1:8" ht="34.5" customHeight="1" x14ac:dyDescent="0.25">
      <c r="A40" s="260" t="str">
        <f>IF(ISBLANK(Datos!I87),"",Datos!I87)</f>
        <v>Preparar la información necesaria para el cumplimiento de las obligaciones tributarias del establecimiento educativo.</v>
      </c>
      <c r="B40" s="260"/>
      <c r="C40" s="260"/>
      <c r="D40" s="260"/>
      <c r="E40" s="260"/>
      <c r="F40" s="260"/>
      <c r="G40" s="260"/>
      <c r="H40" s="260"/>
    </row>
    <row r="41" spans="1:8" ht="34.5" customHeight="1" x14ac:dyDescent="0.25">
      <c r="A41" s="260" t="str">
        <f>IF(ISBLANK(Datos!I88),"",Datos!I88)</f>
        <v>Diseñar y emitir los papeles de trabajo que soporten las labores realizadas para emitir su juicio profesional de conformidad con el artículo 9 de la Ley 43 de 1990.</v>
      </c>
      <c r="B41" s="260"/>
      <c r="C41" s="260"/>
      <c r="D41" s="260"/>
      <c r="E41" s="260"/>
      <c r="F41" s="260"/>
      <c r="G41" s="260"/>
      <c r="H41" s="260"/>
    </row>
    <row r="42" spans="1:8" x14ac:dyDescent="0.25">
      <c r="A42" s="260" t="str">
        <f>IF(ISBLANK(Datos!I89),"",Datos!I89)</f>
        <v xml:space="preserve">Se realizaran 2 auditorías en al año sobre el manejo de los fondos </v>
      </c>
      <c r="B42" s="260"/>
      <c r="C42" s="260"/>
      <c r="D42" s="260"/>
      <c r="E42" s="260"/>
      <c r="F42" s="260"/>
      <c r="G42" s="260"/>
      <c r="H42" s="260"/>
    </row>
    <row r="43" spans="1:8" x14ac:dyDescent="0.25">
      <c r="A43" s="260" t="str">
        <f>IF(ISBLANK(Datos!I90),"",Datos!I90)</f>
        <v>Atender los requerimientos que en materia contable soliciten los entes de control.</v>
      </c>
      <c r="B43" s="260"/>
      <c r="C43" s="260"/>
      <c r="D43" s="260"/>
      <c r="E43" s="260"/>
      <c r="F43" s="260"/>
      <c r="G43" s="260"/>
      <c r="H43" s="260"/>
    </row>
    <row r="44" spans="1:8" ht="34.5" customHeight="1" x14ac:dyDescent="0.25">
      <c r="A44" s="260" t="str">
        <f>IF(ISBLANK(Datos!I91),"",Datos!I91)</f>
        <v>Las demás actividades específicas que se desprendan de las actividades generales, necesarias para el cumplimiento de las normas contables establecidas para los entes públicos.</v>
      </c>
      <c r="B44" s="260"/>
      <c r="C44" s="260"/>
      <c r="D44" s="260"/>
      <c r="E44" s="260"/>
      <c r="F44" s="260"/>
      <c r="G44" s="260"/>
      <c r="H44" s="260"/>
    </row>
    <row r="45" spans="1:8" ht="15" customHeight="1" x14ac:dyDescent="0.25">
      <c r="A45" s="110"/>
      <c r="B45" s="110"/>
      <c r="C45" s="110"/>
      <c r="D45" s="110"/>
      <c r="E45" s="110"/>
      <c r="F45" s="110"/>
      <c r="G45" s="110"/>
      <c r="H45" s="110"/>
    </row>
    <row r="46" spans="1:8" ht="32.25" customHeight="1" x14ac:dyDescent="0.25">
      <c r="A46" s="285" t="str">
        <f>+"2. A prestar los servicios de acuerdo con los pedidos  solicitados por el contratante durante el tiempo de la ejecución del contrato en un plazo no mayor a "&amp;Datos!C39&amp;"  luego de  que el contratante manifieste la necesidad.---------------------------------------"</f>
        <v>2. A prestar los servicios de acuerdo con los pedidos  solicitados por el contratante durante el tiempo de la ejecución del contrato en un plazo no mayor a 9 MESES  luego de  que el contratante manifieste la necesidad.---------------------------------------</v>
      </c>
      <c r="B46" s="285"/>
      <c r="C46" s="285"/>
      <c r="D46" s="285"/>
      <c r="E46" s="285"/>
      <c r="F46" s="285"/>
      <c r="G46" s="285"/>
      <c r="H46" s="285"/>
    </row>
    <row r="47" spans="1:8" x14ac:dyDescent="0.25">
      <c r="A47" s="20"/>
      <c r="B47" s="20"/>
      <c r="C47" s="20"/>
      <c r="D47" s="20"/>
      <c r="E47" s="20"/>
      <c r="F47" s="20"/>
      <c r="G47" s="20"/>
      <c r="H47" s="20"/>
    </row>
    <row r="48" spans="1:8" ht="30.75" customHeight="1" x14ac:dyDescent="0.25">
      <c r="A48" s="285" t="str">
        <f>+"3. A prestar los servicios con calidad en las instalaciones de la "&amp;Datos!B49&amp;", ubicada en la "&amp;Datos!B55&amp;".-----------------------------------------------"</f>
        <v>3. A prestar los servicios con calidad en las instalaciones de la INSTITUCIÓN EDUCATIVA JOAQUIN VALLEJO ARBELAEZ, ubicada en la CARRERA 19 N° 59 C 175.-----------------------------------------------</v>
      </c>
      <c r="B48" s="285"/>
      <c r="C48" s="285"/>
      <c r="D48" s="285"/>
      <c r="E48" s="285"/>
      <c r="F48" s="285"/>
      <c r="G48" s="285"/>
      <c r="H48" s="285"/>
    </row>
    <row r="49" spans="1:8" x14ac:dyDescent="0.25">
      <c r="A49" s="20"/>
      <c r="B49" s="20"/>
      <c r="C49" s="20"/>
      <c r="D49" s="20"/>
      <c r="E49" s="20"/>
      <c r="F49" s="20"/>
      <c r="G49" s="20"/>
      <c r="H49" s="20"/>
    </row>
    <row r="50" spans="1:8" ht="54" customHeight="1" x14ac:dyDescent="0.25">
      <c r="A50" s="284" t="s">
        <v>283</v>
      </c>
      <c r="B50" s="285"/>
      <c r="C50" s="285"/>
      <c r="D50" s="285"/>
      <c r="E50" s="285"/>
      <c r="F50" s="285"/>
      <c r="G50" s="285"/>
      <c r="H50" s="285"/>
    </row>
    <row r="51" spans="1:8" x14ac:dyDescent="0.25">
      <c r="A51" s="21"/>
      <c r="B51" s="20"/>
      <c r="C51" s="20"/>
      <c r="D51" s="20"/>
      <c r="E51" s="20"/>
      <c r="F51" s="20"/>
      <c r="G51" s="20"/>
      <c r="H51" s="20"/>
    </row>
    <row r="52" spans="1:8" x14ac:dyDescent="0.25">
      <c r="A52" s="283" t="str">
        <f>+"TERCERA. DURACIÓN: El presente contrato tendrá una duración de "&amp;Datos!C21&amp;".-------------------------------"</f>
        <v>TERCERA. DURACIÓN: El presente contrato tendrá una duración de 9 MESES.-------------------------------</v>
      </c>
      <c r="B52" s="283"/>
      <c r="C52" s="283"/>
      <c r="D52" s="283"/>
      <c r="E52" s="283"/>
      <c r="F52" s="283"/>
      <c r="G52" s="283"/>
      <c r="H52" s="283"/>
    </row>
    <row r="53" spans="1:8" x14ac:dyDescent="0.25">
      <c r="A53" s="12"/>
      <c r="B53" s="12"/>
      <c r="C53" s="12"/>
      <c r="D53" s="12"/>
      <c r="E53" s="12"/>
      <c r="F53" s="12"/>
      <c r="G53" s="12"/>
      <c r="H53" s="12"/>
    </row>
    <row r="54" spans="1:8" ht="30" customHeight="1" x14ac:dyDescent="0.25">
      <c r="A54" s="282" t="s">
        <v>179</v>
      </c>
      <c r="B54" s="283"/>
      <c r="C54" s="283"/>
      <c r="D54" s="283"/>
      <c r="E54" s="283"/>
      <c r="F54" s="283"/>
      <c r="G54" s="283"/>
      <c r="H54" s="283"/>
    </row>
    <row r="55" spans="1:8" x14ac:dyDescent="0.25">
      <c r="A55" s="17"/>
      <c r="B55" s="15"/>
      <c r="C55" s="15"/>
      <c r="D55" s="15"/>
      <c r="E55" s="15"/>
      <c r="F55" s="15"/>
      <c r="G55" s="15"/>
      <c r="H55" s="15"/>
    </row>
    <row r="56" spans="1:8" ht="48" customHeight="1" x14ac:dyDescent="0.25">
      <c r="A56" s="285" t="str">
        <f>+"QUINTA.  OBLIGACIÓN LABORAL: Ni la "&amp;Datos!B49&amp;" ni "&amp;Datos!B52&amp;", adquieren relación laboral u obligación de este tipo con el CONTRATISTA, en relación al objeto de este contrato, por lo tanto con el pago de la suma aquí pactada, el CONTRATISTA manifiesta que el CONTRATANTE se encuentra a paz y salvo por el servicio---"</f>
        <v>QUINTA.  OBLIGACIÓN LABORAL: Ni la INSTITUCIÓN EDUCATIVA JOAQUIN VALLEJO ARBELAEZ ni CARLOS MARIO GIRALDO JIMENEZ, adquieren relación laboral u obligación de este tipo con el CONTRATISTA, en relación al objeto de este contrato, por lo tanto con el pago de la suma aquí pactada, el CONTRATISTA manifiesta que el CONTRATANTE se encuentra a paz y salvo por el servicio---</v>
      </c>
      <c r="B56" s="285"/>
      <c r="C56" s="285"/>
      <c r="D56" s="285"/>
      <c r="E56" s="285"/>
      <c r="F56" s="285"/>
      <c r="G56" s="285"/>
      <c r="H56" s="285"/>
    </row>
    <row r="57" spans="1:8" x14ac:dyDescent="0.25">
      <c r="A57" s="12"/>
      <c r="B57" s="12"/>
      <c r="C57" s="12"/>
      <c r="D57" s="12"/>
      <c r="E57" s="12"/>
      <c r="F57" s="12"/>
      <c r="G57" s="12"/>
      <c r="H57" s="12"/>
    </row>
    <row r="58" spans="1:8" ht="41.25" customHeight="1" x14ac:dyDescent="0.25">
      <c r="A58" s="284" t="str">
        <f>+"SEXTA. SUPERVISIÓN: La supervisión de este contrato estará a cargo de "&amp;Datos!B52&amp;" como ordenador del gasto y como administrador del Fondo de Servicios Educativos, quien  velará por el estricto cumplimiento del objeto del contrato, incluida las obligaciones del contratista."</f>
        <v>SEXTA. SUPERVISIÓN: La supervisión de este contrato estará a cargo de CARLOS MARIO GIRALDO JIMENEZ como ordenador del gasto y como administrador del Fondo de Servicios Educativos, quien  velará por el estricto cumplimiento del objeto del contrato, incluida las obligaciones del contratista.</v>
      </c>
      <c r="B58" s="285"/>
      <c r="C58" s="285"/>
      <c r="D58" s="285"/>
      <c r="E58" s="285"/>
      <c r="F58" s="285"/>
      <c r="G58" s="285"/>
      <c r="H58" s="285"/>
    </row>
    <row r="59" spans="1:8" x14ac:dyDescent="0.25">
      <c r="A59" s="282" t="s">
        <v>237</v>
      </c>
      <c r="B59" s="283"/>
      <c r="C59" s="283"/>
      <c r="D59" s="283"/>
      <c r="E59" s="283"/>
      <c r="F59" s="283"/>
      <c r="G59" s="283"/>
      <c r="H59" s="283"/>
    </row>
    <row r="60" spans="1:8" x14ac:dyDescent="0.25">
      <c r="A60" s="17"/>
      <c r="B60" s="15"/>
      <c r="C60" s="15"/>
      <c r="D60" s="15"/>
      <c r="E60" s="15"/>
      <c r="F60" s="15"/>
      <c r="G60" s="15"/>
      <c r="H60" s="15"/>
    </row>
    <row r="61" spans="1:8" ht="29.25" customHeight="1" x14ac:dyDescent="0.25">
      <c r="A61" s="284" t="s">
        <v>180</v>
      </c>
      <c r="B61" s="284"/>
      <c r="C61" s="284"/>
      <c r="D61" s="284"/>
      <c r="E61" s="284"/>
      <c r="F61" s="284"/>
      <c r="G61" s="284"/>
      <c r="H61" s="284"/>
    </row>
    <row r="62" spans="1:8" x14ac:dyDescent="0.25">
      <c r="A62" s="21"/>
      <c r="B62" s="21"/>
      <c r="C62" s="21"/>
      <c r="D62" s="21"/>
      <c r="E62" s="21"/>
      <c r="F62" s="21"/>
      <c r="G62" s="21"/>
      <c r="H62" s="21"/>
    </row>
    <row r="63" spans="1:8" ht="42.75" customHeight="1" x14ac:dyDescent="0.25">
      <c r="A63" s="284" t="s">
        <v>181</v>
      </c>
      <c r="B63" s="285"/>
      <c r="C63" s="285"/>
      <c r="D63" s="285"/>
      <c r="E63" s="285"/>
      <c r="F63" s="285"/>
      <c r="G63" s="285"/>
      <c r="H63" s="285"/>
    </row>
    <row r="64" spans="1:8" x14ac:dyDescent="0.25">
      <c r="A64" s="17"/>
      <c r="B64" s="15"/>
      <c r="C64" s="15"/>
      <c r="D64" s="15"/>
      <c r="E64" s="15"/>
      <c r="F64" s="15"/>
      <c r="G64" s="15"/>
      <c r="H64" s="15"/>
    </row>
    <row r="65" spans="1:13" ht="43.5" customHeight="1" x14ac:dyDescent="0.25">
      <c r="A65" s="287" t="s">
        <v>198</v>
      </c>
      <c r="B65" s="287"/>
      <c r="C65" s="287"/>
      <c r="D65" s="287"/>
      <c r="E65" s="287"/>
      <c r="F65" s="287"/>
      <c r="G65" s="287"/>
      <c r="H65" s="287"/>
    </row>
    <row r="66" spans="1:13" x14ac:dyDescent="0.25">
      <c r="A66" s="17"/>
      <c r="B66" s="15"/>
      <c r="C66" s="15"/>
      <c r="D66" s="15"/>
      <c r="E66" s="15"/>
      <c r="F66" s="15"/>
      <c r="G66" s="15"/>
      <c r="H66" s="15"/>
    </row>
    <row r="67" spans="1:13" ht="29.25" customHeight="1" x14ac:dyDescent="0.25">
      <c r="A67" s="283" t="str">
        <f>+"DÉCIMA. DOMICILIO: Para todos los efectos legales, relacionados con el desarrollo de este contrato,  se fija como domicilio el Municipio de "&amp;Datos!B50&amp;". La dirección del contratista es "&amp;Datos!C40&amp;" y la del contratante es "&amp;Datos!B55&amp;".---------------------------"</f>
        <v>DÉCIMA. DOMICILIO: Para todos los efectos legales, relacionados con el desarrollo de este contrato,  se fija como domicilio el Municipio de MEDELLÍN. La dirección del contratista es Cra 40 # 52-170 y la del contratante es CARRERA 19 N° 59 C 175.---------------------------</v>
      </c>
      <c r="B67" s="283"/>
      <c r="C67" s="283"/>
      <c r="D67" s="283"/>
      <c r="E67" s="283"/>
      <c r="F67" s="283"/>
      <c r="G67" s="283"/>
      <c r="H67" s="283"/>
    </row>
    <row r="68" spans="1:13" x14ac:dyDescent="0.25">
      <c r="A68" s="4"/>
      <c r="B68" s="4"/>
      <c r="C68" s="4"/>
      <c r="D68" s="4"/>
      <c r="E68" s="4"/>
      <c r="F68" s="4"/>
      <c r="G68" s="4"/>
      <c r="H68" s="4"/>
    </row>
    <row r="69" spans="1:13" x14ac:dyDescent="0.25">
      <c r="A69" s="286" t="str">
        <f>+"Para constancia se firma en la ciudad de "&amp;Datos!B50&amp;" el "&amp;Datos!J65&amp;""</f>
        <v>Para constancia se firma en la ciudad de MEDELLÍN el 30 de marzo de 2020</v>
      </c>
      <c r="B69" s="286"/>
      <c r="C69" s="286"/>
      <c r="D69" s="286"/>
      <c r="E69" s="286"/>
      <c r="F69" s="286"/>
      <c r="G69" s="286"/>
      <c r="H69" s="286"/>
    </row>
    <row r="70" spans="1:13" x14ac:dyDescent="0.25">
      <c r="A70" s="4"/>
      <c r="B70" s="4"/>
      <c r="C70" s="4"/>
      <c r="D70" s="4"/>
      <c r="E70" s="4"/>
      <c r="F70" s="4"/>
      <c r="G70" s="4"/>
      <c r="H70" s="4"/>
    </row>
    <row r="71" spans="1:13" ht="15" customHeight="1" x14ac:dyDescent="0.25">
      <c r="A71" s="276" t="s">
        <v>131</v>
      </c>
      <c r="B71" s="276"/>
      <c r="C71" s="276"/>
      <c r="D71" s="30"/>
      <c r="E71" s="30"/>
      <c r="F71" s="276" t="s">
        <v>132</v>
      </c>
      <c r="G71" s="276"/>
      <c r="H71" s="276"/>
    </row>
    <row r="72" spans="1:13" x14ac:dyDescent="0.25">
      <c r="A72" s="25"/>
      <c r="B72" s="25"/>
      <c r="C72" s="25"/>
      <c r="D72" s="25"/>
      <c r="E72" s="25"/>
      <c r="F72" s="25"/>
      <c r="G72" s="25"/>
      <c r="H72" s="25"/>
    </row>
    <row r="73" spans="1:13" x14ac:dyDescent="0.25">
      <c r="A73" s="25"/>
      <c r="B73" s="25"/>
      <c r="C73" s="25"/>
      <c r="D73" s="25"/>
      <c r="E73" s="25"/>
      <c r="F73" s="25"/>
      <c r="G73" s="25"/>
      <c r="H73" s="25"/>
    </row>
    <row r="74" spans="1:13" x14ac:dyDescent="0.25">
      <c r="A74" s="15"/>
      <c r="B74" s="15"/>
      <c r="C74" s="15"/>
      <c r="D74" s="15"/>
      <c r="E74" s="15"/>
      <c r="F74" s="15"/>
      <c r="G74" s="15"/>
      <c r="H74" s="15"/>
    </row>
    <row r="75" spans="1:13" x14ac:dyDescent="0.25">
      <c r="A75" s="277" t="str">
        <f>+""&amp;Datos!B51&amp;""</f>
        <v>CARLOS MARIO GIRALDO JIMENEZ
Rector</v>
      </c>
      <c r="B75" s="277"/>
      <c r="C75" s="277"/>
      <c r="D75" s="15"/>
      <c r="E75" s="15"/>
      <c r="F75" s="281" t="str">
        <f>+""&amp;Datos!C3&amp;""</f>
        <v>NELSON LEON MEJIA BILBAO</v>
      </c>
      <c r="G75" s="281"/>
      <c r="H75" s="281"/>
    </row>
    <row r="76" spans="1:13" x14ac:dyDescent="0.25">
      <c r="A76" s="278"/>
      <c r="B76" s="278"/>
      <c r="C76" s="278"/>
      <c r="D76" s="15"/>
      <c r="E76" s="15"/>
      <c r="F76" s="279" t="str">
        <f>+"C.C."&amp;Datos!C4&amp;""</f>
        <v>C.C.71.669.550</v>
      </c>
      <c r="G76" s="279"/>
      <c r="H76" s="279"/>
    </row>
    <row r="77" spans="1:13" x14ac:dyDescent="0.25">
      <c r="A77" s="280" t="str">
        <f>+"C.C."&amp;Datos!B53&amp;""</f>
        <v>C.C.71.661.819</v>
      </c>
      <c r="B77" s="280"/>
      <c r="C77" s="280"/>
      <c r="D77" s="23"/>
      <c r="E77" s="23"/>
      <c r="F77" s="275"/>
      <c r="G77" s="275"/>
      <c r="H77" s="275"/>
      <c r="I77" s="32"/>
      <c r="J77" s="32"/>
      <c r="K77" s="32"/>
      <c r="L77" s="32"/>
      <c r="M77" s="32"/>
    </row>
    <row r="78" spans="1:13" x14ac:dyDescent="0.25">
      <c r="A78" s="22"/>
      <c r="B78" s="22"/>
      <c r="C78" s="22"/>
      <c r="D78" s="22"/>
      <c r="E78" s="22"/>
      <c r="F78" s="22"/>
      <c r="G78" s="22"/>
      <c r="H78" s="22"/>
    </row>
    <row r="79" spans="1:13" x14ac:dyDescent="0.25">
      <c r="A79" s="22"/>
      <c r="B79" s="22"/>
      <c r="C79" s="22"/>
      <c r="D79" s="22"/>
      <c r="E79" s="22"/>
      <c r="F79" s="22"/>
      <c r="G79" s="22"/>
      <c r="H79" s="22"/>
    </row>
    <row r="80" spans="1:13" x14ac:dyDescent="0.25">
      <c r="A80" s="22"/>
      <c r="B80" s="22"/>
      <c r="C80" s="22"/>
      <c r="D80" s="22"/>
      <c r="E80" s="22"/>
      <c r="F80" s="22"/>
      <c r="G80" s="22"/>
      <c r="H80" s="22"/>
    </row>
    <row r="81" spans="1:8" x14ac:dyDescent="0.25">
      <c r="B81" s="31"/>
      <c r="C81" s="31"/>
      <c r="D81" s="31"/>
      <c r="E81" s="31"/>
      <c r="F81" s="31"/>
      <c r="G81" s="31"/>
      <c r="H81" s="31"/>
    </row>
    <row r="82" spans="1:8" x14ac:dyDescent="0.25">
      <c r="A82" s="24"/>
      <c r="B82" s="24"/>
      <c r="C82" s="24"/>
      <c r="D82" s="24"/>
      <c r="E82" s="24"/>
      <c r="F82" s="24"/>
      <c r="G82" s="24"/>
      <c r="H82" s="24"/>
    </row>
    <row r="83" spans="1:8" x14ac:dyDescent="0.25">
      <c r="A83" s="16"/>
      <c r="B83" s="16"/>
      <c r="C83" s="16"/>
      <c r="D83" s="16"/>
      <c r="E83" s="16"/>
      <c r="F83" s="16"/>
      <c r="G83" s="16"/>
      <c r="H83" s="16"/>
    </row>
    <row r="84" spans="1:8" x14ac:dyDescent="0.25">
      <c r="A84" s="16"/>
      <c r="B84" s="16"/>
      <c r="C84" s="16"/>
      <c r="D84" s="16"/>
      <c r="E84" s="16"/>
      <c r="F84" s="16"/>
      <c r="G84" s="16"/>
      <c r="H84" s="16"/>
    </row>
    <row r="85" spans="1:8" x14ac:dyDescent="0.25">
      <c r="D85" s="16"/>
      <c r="E85" s="16"/>
      <c r="F85" s="16"/>
      <c r="G85" s="16"/>
      <c r="H85" s="16"/>
    </row>
    <row r="86" spans="1:8" ht="30" customHeight="1" x14ac:dyDescent="0.25"/>
    <row r="87" spans="1:8" x14ac:dyDescent="0.25">
      <c r="A87" s="4"/>
      <c r="B87" s="4"/>
      <c r="C87" s="4"/>
      <c r="D87" s="4"/>
      <c r="E87" s="4"/>
      <c r="F87" s="4"/>
      <c r="G87" s="4"/>
      <c r="H87" s="4"/>
    </row>
  </sheetData>
  <mergeCells count="67">
    <mergeCell ref="A4:B4"/>
    <mergeCell ref="C4:H4"/>
    <mergeCell ref="A5:B5"/>
    <mergeCell ref="C5:H5"/>
    <mergeCell ref="A6:B6"/>
    <mergeCell ref="A10:B10"/>
    <mergeCell ref="A20:H20"/>
    <mergeCell ref="A19:H19"/>
    <mergeCell ref="A22:H22"/>
    <mergeCell ref="A52:H52"/>
    <mergeCell ref="A50:H50"/>
    <mergeCell ref="A48:H48"/>
    <mergeCell ref="A46:H46"/>
    <mergeCell ref="A28:H28"/>
    <mergeCell ref="A29:H29"/>
    <mergeCell ref="A30:H30"/>
    <mergeCell ref="A31:H31"/>
    <mergeCell ref="A23:H23"/>
    <mergeCell ref="A24:H24"/>
    <mergeCell ref="A25:H25"/>
    <mergeCell ref="A26:H26"/>
    <mergeCell ref="A1:H1"/>
    <mergeCell ref="A13:H13"/>
    <mergeCell ref="A17:H17"/>
    <mergeCell ref="A2:H2"/>
    <mergeCell ref="C6:H6"/>
    <mergeCell ref="C7:H7"/>
    <mergeCell ref="A8:B8"/>
    <mergeCell ref="C8:H8"/>
    <mergeCell ref="C9:H9"/>
    <mergeCell ref="C10:H10"/>
    <mergeCell ref="A12:H12"/>
    <mergeCell ref="A3:B3"/>
    <mergeCell ref="C3:H3"/>
    <mergeCell ref="A7:B7"/>
    <mergeCell ref="A15:H15"/>
    <mergeCell ref="A9:B9"/>
    <mergeCell ref="A54:H54"/>
    <mergeCell ref="A58:H58"/>
    <mergeCell ref="A63:H63"/>
    <mergeCell ref="A67:H67"/>
    <mergeCell ref="A69:H69"/>
    <mergeCell ref="A59:H59"/>
    <mergeCell ref="A56:H56"/>
    <mergeCell ref="A61:H61"/>
    <mergeCell ref="A65:H65"/>
    <mergeCell ref="F77:H77"/>
    <mergeCell ref="F71:H71"/>
    <mergeCell ref="A71:C71"/>
    <mergeCell ref="A75:C76"/>
    <mergeCell ref="F76:H76"/>
    <mergeCell ref="A77:C77"/>
    <mergeCell ref="F75:H75"/>
    <mergeCell ref="A27:H27"/>
    <mergeCell ref="A32:H32"/>
    <mergeCell ref="A33:H33"/>
    <mergeCell ref="A34:H34"/>
    <mergeCell ref="A35:H35"/>
    <mergeCell ref="A36:H36"/>
    <mergeCell ref="A42:H42"/>
    <mergeCell ref="A43:H43"/>
    <mergeCell ref="A44:H44"/>
    <mergeCell ref="A37:H37"/>
    <mergeCell ref="A38:H38"/>
    <mergeCell ref="A39:H39"/>
    <mergeCell ref="A40:H40"/>
    <mergeCell ref="A41:H41"/>
  </mergeCells>
  <printOptions horizontalCentered="1"/>
  <pageMargins left="0.51181102362204722" right="0.31496062992125984" top="1.7713541666666666" bottom="1.0390625" header="0.35433070866141736" footer="0.19685039370078741"/>
  <pageSetup scale="95" fitToWidth="2" fitToHeight="2" orientation="portrait" r:id="rId1"/>
  <headerFooter>
    <oddHeader>&amp;C&amp;G</oddHeader>
    <oddFooter>&amp;C&amp;G
Página &amp;P de &amp;N&amp;RContrato</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tabSelected="1" view="pageLayout" topLeftCell="A34" zoomScaleNormal="100" workbookViewId="0">
      <selection activeCell="D44" sqref="D44"/>
    </sheetView>
  </sheetViews>
  <sheetFormatPr baseColWidth="10" defaultRowHeight="15" x14ac:dyDescent="0.25"/>
  <cols>
    <col min="3" max="3" width="6.5703125" customWidth="1"/>
    <col min="7" max="7" width="15.42578125" customWidth="1"/>
    <col min="8" max="8" width="16" customWidth="1"/>
  </cols>
  <sheetData>
    <row r="1" spans="1:8" ht="15.75" x14ac:dyDescent="0.25">
      <c r="A1" s="269" t="s">
        <v>182</v>
      </c>
      <c r="B1" s="269"/>
      <c r="C1" s="269"/>
      <c r="D1" s="269"/>
      <c r="E1" s="269"/>
      <c r="F1" s="269"/>
      <c r="G1" s="269"/>
      <c r="H1" s="269"/>
    </row>
    <row r="4" spans="1:8" x14ac:dyDescent="0.25">
      <c r="A4" s="302" t="s">
        <v>135</v>
      </c>
      <c r="B4" s="302"/>
      <c r="C4" s="302"/>
      <c r="D4" s="306" t="str">
        <f>+"No. C."&amp;Datos!C35&amp;""</f>
        <v>No. C.004-2020</v>
      </c>
      <c r="E4" s="306"/>
      <c r="F4" s="306"/>
      <c r="G4" s="306"/>
      <c r="H4" s="306"/>
    </row>
    <row r="5" spans="1:8" x14ac:dyDescent="0.25">
      <c r="A5" s="302" t="s">
        <v>136</v>
      </c>
      <c r="B5" s="302"/>
      <c r="C5" s="302"/>
      <c r="D5" s="306" t="str">
        <f>+Datos!B49</f>
        <v>INSTITUCIÓN EDUCATIVA JOAQUIN VALLEJO ARBELAEZ</v>
      </c>
      <c r="E5" s="306"/>
      <c r="F5" s="306"/>
      <c r="G5" s="306"/>
      <c r="H5" s="306"/>
    </row>
    <row r="6" spans="1:8" x14ac:dyDescent="0.25">
      <c r="A6" s="302" t="s">
        <v>137</v>
      </c>
      <c r="B6" s="302"/>
      <c r="C6" s="302"/>
      <c r="D6" s="307" t="str">
        <f>Datos!C6</f>
        <v>NELSON LEON MEJIA BILBAO</v>
      </c>
      <c r="E6" s="308"/>
      <c r="F6" s="308"/>
      <c r="G6" s="308"/>
      <c r="H6" s="308"/>
    </row>
    <row r="7" spans="1:8" x14ac:dyDescent="0.25">
      <c r="A7" s="302" t="s">
        <v>138</v>
      </c>
      <c r="B7" s="302"/>
      <c r="C7" s="302"/>
      <c r="D7" s="303" t="str">
        <f>Datos!C8</f>
        <v xml:space="preserve">ASESORÍA CONTABLE DE FONDOS DE SERVICIOS EDUCATIVOS </v>
      </c>
      <c r="E7" s="304"/>
      <c r="F7" s="304"/>
      <c r="G7" s="304"/>
      <c r="H7" s="305"/>
    </row>
    <row r="8" spans="1:8" x14ac:dyDescent="0.25">
      <c r="A8" s="302" t="s">
        <v>183</v>
      </c>
      <c r="B8" s="302"/>
      <c r="C8" s="302"/>
      <c r="D8" s="306" t="str">
        <f>+"Entre "&amp;Datos!C37&amp;" y "&amp;Datos!C38&amp;""</f>
        <v>Entre 30 de marzo de 2020 y 31 de diciembre de 2020</v>
      </c>
      <c r="E8" s="306"/>
      <c r="F8" s="306"/>
      <c r="G8" s="306"/>
      <c r="H8" s="306"/>
    </row>
    <row r="9" spans="1:8" x14ac:dyDescent="0.25">
      <c r="A9" s="302" t="s">
        <v>34</v>
      </c>
      <c r="B9" s="302"/>
      <c r="C9" s="302"/>
      <c r="D9" s="310">
        <f>Datos!C9</f>
        <v>8280000</v>
      </c>
      <c r="E9" s="310"/>
      <c r="F9" s="310"/>
      <c r="G9" s="310"/>
      <c r="H9" s="310"/>
    </row>
    <row r="10" spans="1:8" x14ac:dyDescent="0.25">
      <c r="A10" s="1"/>
      <c r="B10" s="1"/>
      <c r="C10" s="1"/>
      <c r="D10" s="1"/>
      <c r="E10" s="1"/>
      <c r="F10" s="1"/>
      <c r="G10" s="1"/>
      <c r="H10" s="1"/>
    </row>
    <row r="11" spans="1:8" x14ac:dyDescent="0.25">
      <c r="A11" s="1"/>
      <c r="B11" s="1"/>
      <c r="C11" s="1"/>
      <c r="D11" s="1"/>
      <c r="E11" s="1"/>
      <c r="F11" s="1"/>
      <c r="G11" s="1"/>
      <c r="H11" s="1"/>
    </row>
    <row r="12" spans="1:8" ht="33" customHeight="1" x14ac:dyDescent="0.25">
      <c r="A12" s="261" t="str">
        <f>+"En la "&amp;Datos!B49&amp;", las partes suscritas en el Contrato No. C. "&amp;Datos!C35&amp;", hemos decido DAR POR LIQUIDADO EL MISMO en fecha "&amp;Datos!C43&amp;", previas las siguientes"</f>
        <v>En la INSTITUCIÓN EDUCATIVA JOAQUIN VALLEJO ARBELAEZ, las partes suscritas en el Contrato No. C. 004-2020, hemos decido DAR POR LIQUIDADO EL MISMO en fecha 31 de diciembre de 2020, previas las siguientes</v>
      </c>
      <c r="B12" s="261"/>
      <c r="C12" s="261"/>
      <c r="D12" s="261"/>
      <c r="E12" s="261"/>
      <c r="F12" s="261"/>
      <c r="G12" s="261"/>
      <c r="H12" s="261"/>
    </row>
    <row r="13" spans="1:8" x14ac:dyDescent="0.25">
      <c r="A13" s="6"/>
      <c r="B13" s="6"/>
      <c r="C13" s="6"/>
      <c r="D13" s="6"/>
      <c r="E13" s="6"/>
      <c r="F13" s="6"/>
      <c r="G13" s="6"/>
      <c r="H13" s="6"/>
    </row>
    <row r="14" spans="1:8" x14ac:dyDescent="0.25">
      <c r="A14" s="159"/>
      <c r="B14" s="159"/>
      <c r="C14" s="159"/>
      <c r="D14" s="159"/>
      <c r="E14" s="159"/>
      <c r="F14" s="159"/>
      <c r="G14" s="159"/>
      <c r="H14" s="159"/>
    </row>
    <row r="15" spans="1:8" x14ac:dyDescent="0.25">
      <c r="A15" s="270" t="s">
        <v>144</v>
      </c>
      <c r="B15" s="270"/>
      <c r="C15" s="270"/>
      <c r="D15" s="270"/>
      <c r="E15" s="270"/>
      <c r="F15" s="270"/>
      <c r="G15" s="270"/>
      <c r="H15" s="270"/>
    </row>
    <row r="16" spans="1:8" x14ac:dyDescent="0.25">
      <c r="A16" s="8"/>
      <c r="B16" s="8"/>
      <c r="C16" s="8"/>
      <c r="D16" s="8"/>
      <c r="E16" s="8"/>
      <c r="F16" s="8"/>
      <c r="G16" s="8"/>
      <c r="H16" s="8"/>
    </row>
    <row r="17" spans="1:8" ht="33.75" customHeight="1" x14ac:dyDescent="0.25">
      <c r="A17" s="309" t="str">
        <f>+"PRIMERO: Que entre las partes se suscribió el contrato de "&amp;Datos!C8&amp;"  con una vigencia inicial de "&amp;Datos!C21&amp;"."</f>
        <v>PRIMERO: Que entre las partes se suscribió el contrato de ASESORÍA CONTABLE DE FONDOS DE SERVICIOS EDUCATIVOS   con una vigencia inicial de 9 MESES.</v>
      </c>
      <c r="B17" s="309"/>
      <c r="C17" s="309"/>
      <c r="D17" s="309"/>
      <c r="E17" s="309"/>
      <c r="F17" s="309"/>
      <c r="G17" s="309"/>
      <c r="H17" s="309"/>
    </row>
    <row r="18" spans="1:8" x14ac:dyDescent="0.25">
      <c r="A18" s="14"/>
      <c r="B18" s="14"/>
      <c r="C18" s="14"/>
      <c r="D18" s="14"/>
      <c r="E18" s="14"/>
      <c r="F18" s="14"/>
      <c r="G18" s="14"/>
      <c r="H18" s="14"/>
    </row>
    <row r="19" spans="1:8" x14ac:dyDescent="0.25">
      <c r="A19" s="309" t="s">
        <v>145</v>
      </c>
      <c r="B19" s="309"/>
      <c r="C19" s="309"/>
      <c r="D19" s="309"/>
      <c r="E19" s="309"/>
      <c r="F19" s="309"/>
      <c r="G19" s="309"/>
      <c r="H19" s="309"/>
    </row>
    <row r="20" spans="1:8" x14ac:dyDescent="0.25">
      <c r="A20" s="7"/>
      <c r="B20" s="7"/>
      <c r="C20" s="7"/>
      <c r="D20" s="7"/>
      <c r="E20" s="7"/>
      <c r="F20" s="7"/>
      <c r="G20" s="7"/>
      <c r="H20" s="7"/>
    </row>
    <row r="21" spans="1:8" x14ac:dyDescent="0.25">
      <c r="A21" s="160"/>
      <c r="B21" s="160"/>
      <c r="C21" s="160"/>
      <c r="D21" s="160"/>
      <c r="E21" s="160"/>
      <c r="F21" s="160"/>
      <c r="G21" s="160"/>
      <c r="H21" s="160"/>
    </row>
    <row r="22" spans="1:8" x14ac:dyDescent="0.25">
      <c r="A22" s="270" t="s">
        <v>146</v>
      </c>
      <c r="B22" s="270"/>
      <c r="C22" s="270"/>
      <c r="D22" s="270"/>
      <c r="E22" s="270"/>
      <c r="F22" s="270"/>
      <c r="G22" s="270"/>
      <c r="H22" s="270"/>
    </row>
    <row r="23" spans="1:8" x14ac:dyDescent="0.25">
      <c r="A23" s="8"/>
      <c r="B23" s="8"/>
      <c r="C23" s="8"/>
      <c r="D23" s="8"/>
      <c r="E23" s="8"/>
      <c r="F23" s="8"/>
      <c r="G23" s="8"/>
      <c r="H23" s="8"/>
    </row>
    <row r="24" spans="1:8" ht="126" customHeight="1" x14ac:dyDescent="0.25">
      <c r="A24" s="261" t="str">
        <f>+"PRIMERO: Liquidar de común acuerdo,  el contrato de "&amp;Datos!C8&amp;".
VALOR CONTRATADO:     $"&amp;Datos!C9&amp;"         
VALOR EJECUTADO:          $"&amp;Datos!C9&amp;"           
VALOR PAGADO:                $ "&amp;Datos!K18&amp;"
VALOR RETENIDO:             $ "&amp;Datos!K17&amp;"
VALOR NO EJECUTADO:  $ 0"</f>
        <v>PRIMERO: Liquidar de común acuerdo,  el contrato de ASESORÍA CONTABLE DE FONDOS DE SERVICIOS EDUCATIVOS .
VALOR CONTRATADO:     $8280000         
VALOR EJECUTADO:          $8280000           
VALOR PAGADO:                $ 7452000
VALOR RETENIDO:             $ 828000
VALOR NO EJECUTADO:  $ 0</v>
      </c>
      <c r="B24" s="261"/>
      <c r="C24" s="261"/>
      <c r="D24" s="261"/>
      <c r="E24" s="261"/>
      <c r="F24" s="261"/>
      <c r="G24" s="261"/>
      <c r="H24" s="261"/>
    </row>
    <row r="25" spans="1:8" ht="18.75" customHeight="1" x14ac:dyDescent="0.25">
      <c r="A25" s="13"/>
      <c r="B25" s="13"/>
      <c r="C25" s="13"/>
      <c r="D25" s="13"/>
      <c r="E25" s="13"/>
      <c r="F25" s="13"/>
      <c r="G25" s="13"/>
      <c r="H25" s="13"/>
    </row>
    <row r="26" spans="1:8" ht="32.25" customHeight="1" x14ac:dyDescent="0.25">
      <c r="A26" s="261" t="str">
        <f>+"SEGUNDO: En consideración del numeral anterior, el contratista  se encuentra a paz y salvo  con la "&amp;Datos!B49&amp;""</f>
        <v>SEGUNDO: En consideración del numeral anterior, el contratista  se encuentra a paz y salvo  con la INSTITUCIÓN EDUCATIVA JOAQUIN VALLEJO ARBELAEZ</v>
      </c>
      <c r="B26" s="261"/>
      <c r="C26" s="261"/>
      <c r="D26" s="261"/>
      <c r="E26" s="261"/>
      <c r="F26" s="261"/>
      <c r="G26" s="261"/>
      <c r="H26" s="261"/>
    </row>
    <row r="27" spans="1:8" x14ac:dyDescent="0.25">
      <c r="A27" s="13"/>
      <c r="B27" s="13"/>
      <c r="C27" s="13"/>
      <c r="D27" s="13"/>
      <c r="E27" s="13"/>
      <c r="F27" s="13"/>
      <c r="G27" s="13"/>
      <c r="H27" s="13"/>
    </row>
    <row r="28" spans="1:8" ht="49.5" customHeight="1" x14ac:dyDescent="0.25">
      <c r="A28" s="261" t="str">
        <f>+"TERCERA: Dado el cumplimiento del CONTRATO DE "&amp;Datos!C8&amp;", las partes de común acuerdo dan por terminado y liquidado el contrato, declarando que se encuentran  satisfechas y renuncian a reclamaciones administrativas o judiciales derivadas del mismo. "</f>
        <v xml:space="preserve">TERCERA: Dado el cumplimiento del CONTRATO DE ASESORÍA CONTABLE DE FONDOS DE SERVICIOS EDUCATIVOS , las partes de común acuerdo dan por terminado y liquidado el contrato, declarando que se encuentran  satisfechas y renuncian a reclamaciones administrativas o judiciales derivadas del mismo. </v>
      </c>
      <c r="B28" s="261"/>
      <c r="C28" s="261"/>
      <c r="D28" s="261"/>
      <c r="E28" s="261"/>
      <c r="F28" s="261"/>
      <c r="G28" s="261"/>
      <c r="H28" s="261"/>
    </row>
    <row r="30" spans="1:8" x14ac:dyDescent="0.25">
      <c r="A30" s="289" t="str">
        <f>+"Para constancia, se firma el "&amp;Datos!C43&amp;", por quienes en ella intervinieron."</f>
        <v>Para constancia, se firma el 31 de diciembre de 2020, por quienes en ella intervinieron.</v>
      </c>
      <c r="B30" s="289"/>
      <c r="C30" s="289"/>
      <c r="D30" s="289"/>
      <c r="E30" s="289"/>
      <c r="F30" s="289"/>
      <c r="G30" s="289"/>
      <c r="H30" s="289"/>
    </row>
    <row r="33" spans="1:8" ht="15" customHeight="1" x14ac:dyDescent="0.25">
      <c r="A33" s="301" t="s">
        <v>131</v>
      </c>
      <c r="B33" s="301"/>
      <c r="C33" s="301"/>
      <c r="D33" s="301"/>
      <c r="E33" s="3"/>
      <c r="F33" s="276" t="s">
        <v>132</v>
      </c>
      <c r="G33" s="276"/>
      <c r="H33" s="276"/>
    </row>
    <row r="34" spans="1:8" ht="15" customHeight="1" x14ac:dyDescent="0.25">
      <c r="A34" s="28"/>
      <c r="B34" s="28"/>
      <c r="C34" s="27"/>
      <c r="D34" s="27"/>
      <c r="E34" s="3"/>
      <c r="F34" s="29"/>
      <c r="G34" s="29"/>
      <c r="H34" s="29"/>
    </row>
    <row r="35" spans="1:8" ht="15" customHeight="1" x14ac:dyDescent="0.25">
      <c r="A35" s="28"/>
      <c r="B35" s="28"/>
      <c r="C35" s="27"/>
      <c r="D35" s="27"/>
      <c r="E35" s="3"/>
      <c r="F35" s="29"/>
      <c r="G35" s="29"/>
      <c r="H35" s="29"/>
    </row>
    <row r="36" spans="1:8" x14ac:dyDescent="0.25">
      <c r="A36" s="14"/>
      <c r="B36" s="14"/>
      <c r="C36" s="14"/>
      <c r="D36" s="14"/>
      <c r="E36" s="14"/>
      <c r="G36" s="14"/>
      <c r="H36" s="14"/>
    </row>
    <row r="37" spans="1:8" x14ac:dyDescent="0.25">
      <c r="A37" s="277" t="str">
        <f>+Datos!B51</f>
        <v>CARLOS MARIO GIRALDO JIMENEZ
Rector</v>
      </c>
      <c r="B37" s="277"/>
      <c r="C37" s="277"/>
      <c r="D37" s="277"/>
      <c r="E37" s="26"/>
      <c r="F37" s="298" t="str">
        <f>+""&amp;Datos!C3&amp;"      "</f>
        <v xml:space="preserve">NELSON LEON MEJIA BILBAO      </v>
      </c>
      <c r="G37" s="298"/>
      <c r="H37" s="298"/>
    </row>
    <row r="38" spans="1:8" x14ac:dyDescent="0.25">
      <c r="A38" s="278"/>
      <c r="B38" s="278"/>
      <c r="C38" s="278"/>
      <c r="D38" s="278"/>
      <c r="E38" s="26"/>
      <c r="F38" s="300" t="str">
        <f>+"C.C."&amp;Datos!C4&amp;""</f>
        <v>C.C.71.669.550</v>
      </c>
      <c r="G38" s="300"/>
      <c r="H38" s="300"/>
    </row>
    <row r="39" spans="1:8" x14ac:dyDescent="0.25">
      <c r="A39" s="299" t="str">
        <f>+"C.C."&amp;Datos!B53&amp;""</f>
        <v>C.C.71.661.819</v>
      </c>
      <c r="B39" s="299"/>
      <c r="C39" s="299"/>
      <c r="D39" s="299"/>
      <c r="E39" s="26"/>
      <c r="F39" s="275"/>
      <c r="G39" s="275"/>
      <c r="H39" s="275"/>
    </row>
  </sheetData>
  <mergeCells count="29">
    <mergeCell ref="A26:H26"/>
    <mergeCell ref="A28:H28"/>
    <mergeCell ref="A30:H30"/>
    <mergeCell ref="A9:C9"/>
    <mergeCell ref="D9:H9"/>
    <mergeCell ref="A15:H15"/>
    <mergeCell ref="A17:H17"/>
    <mergeCell ref="A24:H24"/>
    <mergeCell ref="A1:H1"/>
    <mergeCell ref="A33:D33"/>
    <mergeCell ref="F33:H33"/>
    <mergeCell ref="A7:C7"/>
    <mergeCell ref="D7:H7"/>
    <mergeCell ref="A12:H12"/>
    <mergeCell ref="A4:C4"/>
    <mergeCell ref="D4:H4"/>
    <mergeCell ref="A5:C5"/>
    <mergeCell ref="D5:H5"/>
    <mergeCell ref="A6:C6"/>
    <mergeCell ref="D6:H6"/>
    <mergeCell ref="A19:H19"/>
    <mergeCell ref="A22:H22"/>
    <mergeCell ref="A8:C8"/>
    <mergeCell ref="D8:H8"/>
    <mergeCell ref="F39:H39"/>
    <mergeCell ref="A37:D38"/>
    <mergeCell ref="F37:H37"/>
    <mergeCell ref="A39:D39"/>
    <mergeCell ref="F38:H38"/>
  </mergeCells>
  <pageMargins left="0.7817708333333333" right="0.46875" top="1.8802083333333333" bottom="1.1479166666666667" header="0.35433070866141736" footer="0.19791666666666666"/>
  <pageSetup scale="95" orientation="portrait" r:id="rId1"/>
  <headerFooter>
    <oddHeader>&amp;C&amp;G</oddHeader>
    <oddFooter>&amp;C&amp;G
Página &amp;P de &amp;N&amp;RActa Liquidación de Contrato</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45"/>
  <sheetViews>
    <sheetView showWhiteSpace="0" view="pageLayout" topLeftCell="A34" workbookViewId="0">
      <selection activeCell="C41" sqref="C41"/>
    </sheetView>
  </sheetViews>
  <sheetFormatPr baseColWidth="10" defaultRowHeight="15" x14ac:dyDescent="0.25"/>
  <cols>
    <col min="1" max="1" width="12.140625" customWidth="1"/>
    <col min="2" max="2" width="16" customWidth="1"/>
    <col min="3" max="5" width="16.7109375" customWidth="1"/>
    <col min="6" max="6" width="11.28515625" customWidth="1"/>
  </cols>
  <sheetData>
    <row r="1" spans="1:6" x14ac:dyDescent="0.25">
      <c r="A1" s="163"/>
      <c r="B1" s="163"/>
      <c r="C1" s="163"/>
    </row>
    <row r="2" spans="1:6" ht="19.5" x14ac:dyDescent="0.25">
      <c r="A2" s="312" t="s">
        <v>307</v>
      </c>
      <c r="B2" s="312"/>
      <c r="C2" s="312"/>
      <c r="D2" s="312"/>
      <c r="E2" s="312"/>
      <c r="F2" s="312"/>
    </row>
    <row r="4" spans="1:6" ht="18" x14ac:dyDescent="0.25">
      <c r="A4" s="313" t="s">
        <v>308</v>
      </c>
      <c r="B4" s="313"/>
      <c r="C4" s="313"/>
      <c r="D4" s="313"/>
      <c r="E4" s="313"/>
      <c r="F4" s="313"/>
    </row>
    <row r="5" spans="1:6" ht="6.75" customHeight="1" x14ac:dyDescent="0.25">
      <c r="A5" s="314"/>
      <c r="B5" s="314"/>
      <c r="C5" s="314"/>
      <c r="D5" s="314"/>
      <c r="E5" s="314"/>
      <c r="F5" s="314"/>
    </row>
    <row r="6" spans="1:6" ht="15" customHeight="1" x14ac:dyDescent="0.25">
      <c r="A6" s="315" t="s">
        <v>172</v>
      </c>
      <c r="B6" s="315"/>
      <c r="C6" s="315"/>
      <c r="D6" s="315"/>
      <c r="E6" s="315"/>
      <c r="F6" s="315"/>
    </row>
    <row r="7" spans="1:6" ht="15" customHeight="1" x14ac:dyDescent="0.25">
      <c r="A7" s="316" t="s">
        <v>319</v>
      </c>
      <c r="B7" s="316"/>
      <c r="C7" s="316"/>
      <c r="D7" s="316"/>
      <c r="E7" s="316"/>
      <c r="F7" s="316"/>
    </row>
    <row r="12" spans="1:6" x14ac:dyDescent="0.25">
      <c r="A12" s="311" t="s">
        <v>309</v>
      </c>
      <c r="B12" s="311"/>
      <c r="C12" s="311"/>
      <c r="D12" s="311"/>
      <c r="E12" s="311"/>
      <c r="F12" s="311"/>
    </row>
    <row r="16" spans="1:6" ht="18.75" x14ac:dyDescent="0.3">
      <c r="A16" s="318" t="s">
        <v>293</v>
      </c>
      <c r="B16" s="318"/>
      <c r="C16" s="318"/>
      <c r="D16" s="318"/>
      <c r="E16" s="318"/>
      <c r="F16" s="318"/>
    </row>
    <row r="18" spans="1:6" ht="15.75" x14ac:dyDescent="0.25">
      <c r="A18" s="164" t="s">
        <v>310</v>
      </c>
      <c r="B18" s="319" t="s">
        <v>311</v>
      </c>
      <c r="C18" s="319"/>
      <c r="D18" s="319"/>
      <c r="E18" s="319"/>
    </row>
    <row r="21" spans="1:6" ht="15.75" x14ac:dyDescent="0.25">
      <c r="A21" s="320" t="s">
        <v>312</v>
      </c>
      <c r="B21" s="320"/>
      <c r="C21" s="320"/>
      <c r="D21" s="320"/>
      <c r="E21" s="320"/>
      <c r="F21" s="320"/>
    </row>
    <row r="24" spans="1:6" ht="30.75" customHeight="1" x14ac:dyDescent="0.25">
      <c r="A24" s="321" t="s">
        <v>320</v>
      </c>
      <c r="B24" s="321"/>
      <c r="C24" s="321"/>
      <c r="D24" s="321"/>
      <c r="E24" s="321"/>
      <c r="F24" s="321"/>
    </row>
    <row r="27" spans="1:6" ht="15.75" customHeight="1" x14ac:dyDescent="0.25">
      <c r="A27" s="322" t="s">
        <v>313</v>
      </c>
      <c r="B27" s="322"/>
      <c r="C27" s="165">
        <v>920000</v>
      </c>
      <c r="D27" s="166"/>
      <c r="E27" s="166"/>
      <c r="F27" s="166"/>
    </row>
    <row r="31" spans="1:6" ht="15.75" x14ac:dyDescent="0.25">
      <c r="A31" s="320" t="s">
        <v>314</v>
      </c>
      <c r="B31" s="320"/>
      <c r="C31" s="320"/>
      <c r="D31" s="320"/>
      <c r="E31" s="320"/>
      <c r="F31" s="320"/>
    </row>
    <row r="35" spans="1:6" ht="15" customHeight="1" x14ac:dyDescent="0.25">
      <c r="A35" s="323" t="s">
        <v>315</v>
      </c>
      <c r="B35" s="323"/>
      <c r="C35" s="324" t="s">
        <v>321</v>
      </c>
      <c r="D35" s="324"/>
      <c r="E35" s="167"/>
      <c r="F35" s="167"/>
    </row>
    <row r="38" spans="1:6" ht="15.75" x14ac:dyDescent="0.25">
      <c r="A38" s="320" t="s">
        <v>316</v>
      </c>
      <c r="B38" s="320"/>
    </row>
    <row r="43" spans="1:6" ht="15.75" x14ac:dyDescent="0.25">
      <c r="B43" s="325" t="s">
        <v>289</v>
      </c>
      <c r="C43" s="326"/>
      <c r="D43" s="326"/>
      <c r="E43" s="326"/>
    </row>
    <row r="44" spans="1:6" x14ac:dyDescent="0.25">
      <c r="B44" s="317" t="s">
        <v>317</v>
      </c>
      <c r="C44" s="317"/>
      <c r="D44" s="317"/>
      <c r="E44" s="317"/>
    </row>
    <row r="45" spans="1:6" x14ac:dyDescent="0.25">
      <c r="B45" s="317" t="s">
        <v>318</v>
      </c>
      <c r="C45" s="317"/>
      <c r="D45" s="317"/>
      <c r="E45" s="317"/>
    </row>
  </sheetData>
  <mergeCells count="18">
    <mergeCell ref="B45:E45"/>
    <mergeCell ref="A16:F16"/>
    <mergeCell ref="B18:E18"/>
    <mergeCell ref="A21:F21"/>
    <mergeCell ref="A24:F24"/>
    <mergeCell ref="A27:B27"/>
    <mergeCell ref="A31:F31"/>
    <mergeCell ref="A35:B35"/>
    <mergeCell ref="C35:D35"/>
    <mergeCell ref="A38:B38"/>
    <mergeCell ref="B43:E43"/>
    <mergeCell ref="B44:E44"/>
    <mergeCell ref="A12:F12"/>
    <mergeCell ref="A2:F2"/>
    <mergeCell ref="A4:F4"/>
    <mergeCell ref="A5:F5"/>
    <mergeCell ref="A6:F6"/>
    <mergeCell ref="A7:F7"/>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45"/>
  <sheetViews>
    <sheetView showWhiteSpace="0" view="pageLayout" topLeftCell="A38" workbookViewId="0">
      <selection activeCell="E41" sqref="E41"/>
    </sheetView>
  </sheetViews>
  <sheetFormatPr baseColWidth="10" defaultRowHeight="15" x14ac:dyDescent="0.25"/>
  <cols>
    <col min="1" max="1" width="12.140625" customWidth="1"/>
    <col min="2" max="2" width="16" customWidth="1"/>
    <col min="3" max="5" width="16.7109375" customWidth="1"/>
    <col min="6" max="6" width="11.28515625" customWidth="1"/>
  </cols>
  <sheetData>
    <row r="1" spans="1:6" x14ac:dyDescent="0.25">
      <c r="A1" s="163"/>
      <c r="B1" s="163"/>
      <c r="C1" s="163"/>
    </row>
    <row r="2" spans="1:6" ht="19.5" x14ac:dyDescent="0.25">
      <c r="A2" s="312" t="s">
        <v>307</v>
      </c>
      <c r="B2" s="312"/>
      <c r="C2" s="312"/>
      <c r="D2" s="312"/>
      <c r="E2" s="312"/>
      <c r="F2" s="312"/>
    </row>
    <row r="4" spans="1:6" ht="18" x14ac:dyDescent="0.25">
      <c r="A4" s="313" t="s">
        <v>308</v>
      </c>
      <c r="B4" s="313"/>
      <c r="C4" s="313"/>
      <c r="D4" s="313"/>
      <c r="E4" s="313"/>
      <c r="F4" s="313"/>
    </row>
    <row r="5" spans="1:6" ht="6.75" customHeight="1" x14ac:dyDescent="0.25">
      <c r="A5" s="314"/>
      <c r="B5" s="314"/>
      <c r="C5" s="314"/>
      <c r="D5" s="314"/>
      <c r="E5" s="314"/>
      <c r="F5" s="314"/>
    </row>
    <row r="6" spans="1:6" ht="15" customHeight="1" x14ac:dyDescent="0.25">
      <c r="A6" s="315" t="s">
        <v>172</v>
      </c>
      <c r="B6" s="315"/>
      <c r="C6" s="315"/>
      <c r="D6" s="315"/>
      <c r="E6" s="315"/>
      <c r="F6" s="315"/>
    </row>
    <row r="7" spans="1:6" ht="15" customHeight="1" x14ac:dyDescent="0.25">
      <c r="A7" s="316" t="s">
        <v>319</v>
      </c>
      <c r="B7" s="316"/>
      <c r="C7" s="316"/>
      <c r="D7" s="316"/>
      <c r="E7" s="316"/>
      <c r="F7" s="316"/>
    </row>
    <row r="12" spans="1:6" x14ac:dyDescent="0.25">
      <c r="A12" s="311" t="s">
        <v>309</v>
      </c>
      <c r="B12" s="311"/>
      <c r="C12" s="311"/>
      <c r="D12" s="311"/>
      <c r="E12" s="311"/>
      <c r="F12" s="311"/>
    </row>
    <row r="16" spans="1:6" ht="18.75" x14ac:dyDescent="0.3">
      <c r="A16" s="318" t="s">
        <v>293</v>
      </c>
      <c r="B16" s="318"/>
      <c r="C16" s="318"/>
      <c r="D16" s="318"/>
      <c r="E16" s="318"/>
      <c r="F16" s="318"/>
    </row>
    <row r="18" spans="1:6" ht="15.75" x14ac:dyDescent="0.25">
      <c r="A18" s="164" t="s">
        <v>310</v>
      </c>
      <c r="B18" s="319" t="s">
        <v>311</v>
      </c>
      <c r="C18" s="319"/>
      <c r="D18" s="319"/>
      <c r="E18" s="319"/>
    </row>
    <row r="21" spans="1:6" ht="15.75" x14ac:dyDescent="0.25">
      <c r="A21" s="320" t="s">
        <v>312</v>
      </c>
      <c r="B21" s="320"/>
      <c r="C21" s="320"/>
      <c r="D21" s="320"/>
      <c r="E21" s="320"/>
      <c r="F21" s="320"/>
    </row>
    <row r="24" spans="1:6" ht="30.75" customHeight="1" x14ac:dyDescent="0.25">
      <c r="A24" s="321" t="s">
        <v>322</v>
      </c>
      <c r="B24" s="321"/>
      <c r="C24" s="321"/>
      <c r="D24" s="321"/>
      <c r="E24" s="321"/>
      <c r="F24" s="321"/>
    </row>
    <row r="27" spans="1:6" ht="15.75" customHeight="1" x14ac:dyDescent="0.25">
      <c r="A27" s="322" t="s">
        <v>313</v>
      </c>
      <c r="B27" s="322"/>
      <c r="C27" s="165">
        <v>920000</v>
      </c>
      <c r="D27" s="166"/>
      <c r="E27" s="166"/>
      <c r="F27" s="166"/>
    </row>
    <row r="31" spans="1:6" ht="15.75" x14ac:dyDescent="0.25">
      <c r="A31" s="320" t="s">
        <v>314</v>
      </c>
      <c r="B31" s="320"/>
      <c r="C31" s="320"/>
      <c r="D31" s="320"/>
      <c r="E31" s="320"/>
      <c r="F31" s="320"/>
    </row>
    <row r="35" spans="1:6" ht="15" customHeight="1" x14ac:dyDescent="0.25">
      <c r="A35" s="323" t="s">
        <v>315</v>
      </c>
      <c r="B35" s="323"/>
      <c r="C35" s="324" t="s">
        <v>323</v>
      </c>
      <c r="D35" s="324"/>
      <c r="E35" s="167"/>
      <c r="F35" s="167"/>
    </row>
    <row r="38" spans="1:6" ht="15.75" x14ac:dyDescent="0.25">
      <c r="A38" s="320" t="s">
        <v>316</v>
      </c>
      <c r="B38" s="320"/>
    </row>
    <row r="43" spans="1:6" ht="15.75" x14ac:dyDescent="0.25">
      <c r="B43" s="325" t="s">
        <v>289</v>
      </c>
      <c r="C43" s="326"/>
      <c r="D43" s="326"/>
      <c r="E43" s="326"/>
    </row>
    <row r="44" spans="1:6" x14ac:dyDescent="0.25">
      <c r="B44" s="317" t="s">
        <v>317</v>
      </c>
      <c r="C44" s="317"/>
      <c r="D44" s="317"/>
      <c r="E44" s="317"/>
    </row>
    <row r="45" spans="1:6" x14ac:dyDescent="0.25">
      <c r="B45" s="317" t="s">
        <v>318</v>
      </c>
      <c r="C45" s="317"/>
      <c r="D45" s="317"/>
      <c r="E45" s="317"/>
    </row>
  </sheetData>
  <mergeCells count="18">
    <mergeCell ref="A12:F12"/>
    <mergeCell ref="A2:F2"/>
    <mergeCell ref="A4:F4"/>
    <mergeCell ref="A5:F5"/>
    <mergeCell ref="A6:F6"/>
    <mergeCell ref="A7:F7"/>
    <mergeCell ref="B45:E45"/>
    <mergeCell ref="A16:F16"/>
    <mergeCell ref="B18:E18"/>
    <mergeCell ref="A21:F21"/>
    <mergeCell ref="A24:F24"/>
    <mergeCell ref="A27:B27"/>
    <mergeCell ref="A31:F31"/>
    <mergeCell ref="A35:B35"/>
    <mergeCell ref="C35:D35"/>
    <mergeCell ref="A38:B38"/>
    <mergeCell ref="B43:E43"/>
    <mergeCell ref="B44:E44"/>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Datos</vt:lpstr>
      <vt:lpstr>Est Prev</vt:lpstr>
      <vt:lpstr>Res Adjud</vt:lpstr>
      <vt:lpstr>Contrato</vt:lpstr>
      <vt:lpstr>ActaLiquida</vt:lpstr>
      <vt:lpstr>REC. SAT.abril</vt:lpstr>
      <vt:lpstr>REC. SAT.mayo)</vt: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EDWIN</dc:creator>
  <cp:lastModifiedBy>beatriz</cp:lastModifiedBy>
  <cp:lastPrinted>2020-07-17T22:52:48Z</cp:lastPrinted>
  <dcterms:created xsi:type="dcterms:W3CDTF">2015-09-11T21:46:17Z</dcterms:created>
  <dcterms:modified xsi:type="dcterms:W3CDTF">2020-07-25T17:41:48Z</dcterms:modified>
</cp:coreProperties>
</file>